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activeTab="3"/>
  </bookViews>
  <sheets>
    <sheet name="Chart1" sheetId="1" r:id="rId1"/>
    <sheet name="IBS" sheetId="2" r:id="rId2"/>
    <sheet name="TT at LLO" sheetId="3" r:id="rId3"/>
    <sheet name="IBS IOO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<sst xmlns="http://schemas.openxmlformats.org/spreadsheetml/2006/main" count="713" uniqueCount="119">
  <si>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</si>
  <si>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</si>
  <si>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1b. Option with 500 micrometer blade</t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</si>
  <si>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</si>
  <si>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</si>
  <si>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</si>
  <si>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</si>
  <si>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</si>
  <si>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</si>
  <si>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</si>
  <si>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</si>
  <si>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</si>
  <si>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</si>
  <si>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</si>
  <si>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</si>
  <si>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</si>
  <si>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</si>
  <si>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</si>
  <si>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</si>
  <si>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</si>
  <si>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</si>
  <si>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</si>
  <si>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</si>
  <si>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</si>
  <si>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</si>
  <si>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</si>
  <si>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</si>
  <si>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</si>
  <si>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</si>
  <si>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</si>
  <si>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</si>
  <si>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</si>
  <si>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</si>
  <si>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</si>
  <si>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</si>
  <si>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</si>
  <si>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</si>
  <si>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t>7cm blade</t>
  </si>
  <si>
    <t>tip angle</t>
  </si>
  <si>
    <t>base to tip [mm]</t>
  </si>
  <si>
    <t>lateral shift [mm]</t>
  </si>
  <si>
    <t>latertal shift [mm]</t>
  </si>
  <si>
    <r>
      <t xml:space="preserve">INTERNAL MODE </t>
    </r>
    <r>
      <rPr>
        <sz val="10"/>
        <rFont val="Arial"/>
        <family val="0"/>
      </rPr>
      <t>(SCALED FROM ORIGINAL  BLADE)</t>
    </r>
  </si>
  <si>
    <t>RM values updated 16 Jan 2008</t>
  </si>
  <si>
    <t>NAR and CIT</t>
  </si>
  <si>
    <t>1. Option with 254 micrometer blade</t>
  </si>
  <si>
    <t>5cm blade</t>
  </si>
  <si>
    <t>HLTS lower blade procurement March/April 2009</t>
  </si>
  <si>
    <t>(1.55 used before)</t>
  </si>
  <si>
    <t>(BeCu)</t>
  </si>
  <si>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</si>
  <si>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</si>
  <si>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</si>
  <si>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</si>
  <si>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</si>
  <si>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</si>
  <si>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</si>
  <si>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</si>
  <si>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</si>
  <si>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</si>
  <si>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</si>
  <si>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</si>
  <si>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</si>
  <si>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</si>
  <si>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</si>
  <si>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</si>
  <si>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</si>
  <si>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</si>
  <si>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</si>
  <si>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</si>
  <si>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</si>
  <si>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</si>
  <si>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</si>
  <si>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</si>
  <si>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</si>
  <si>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</si>
  <si>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</si>
  <si>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</si>
  <si>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based on HLTS lower blade procurement March/April 2009</t>
  </si>
  <si>
    <t>Want this as a % of the BS =</t>
  </si>
  <si>
    <t>mass1</t>
  </si>
  <si>
    <t>mass2</t>
  </si>
  <si>
    <t>mass3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</si>
  <si>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</si>
  <si>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</si>
  <si>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</si>
  <si>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</si>
  <si>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</si>
  <si>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</si>
  <si>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</si>
  <si>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</si>
  <si>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</si>
  <si>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</si>
  <si>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</si>
  <si>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</si>
  <si>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</si>
  <si>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Modified for the TT/IBS vertical Blades July 2009</t>
  </si>
  <si>
    <t>BJJS</t>
  </si>
  <si>
    <t>mass</t>
  </si>
  <si>
    <t>Ix</t>
  </si>
  <si>
    <t>Iy</t>
  </si>
  <si>
    <t>Iz</t>
  </si>
  <si>
    <t>FUSED SILICA MASS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</si>
  <si>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</si>
  <si>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</si>
  <si>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</si>
  <si>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</si>
  <si>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</si>
  <si>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</si>
  <si>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</si>
  <si>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</si>
  <si>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</si>
  <si>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</si>
  <si>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</si>
  <si>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(SS)</t>
  </si>
  <si>
    <t>length, l</t>
  </si>
  <si>
    <t>1.CALCULTAION OF VARIOUS BLADE PARAMETERS,</t>
  </si>
  <si>
    <t>2. the flats mass and moment of inertia</t>
  </si>
  <si>
    <t>3.the aluminium intermediate mass with hole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</si>
</sst>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  <numFmt numFmtId="192" formatCode="General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4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1" fontId="0" fillId="0" borderId="5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" fillId="0" borderId="8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180" fontId="1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7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1" fontId="0" fillId="0" borderId="7" xfId="15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2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3" borderId="0" xfId="0" applyFill="1" applyAlignment="1">
      <alignment/>
    </xf>
    <xf numFmtId="179" fontId="1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90" fontId="0" fillId="0" borderId="0" xfId="15" applyNumberFormat="1" applyAlignment="1">
      <alignment/>
    </xf>
    <xf numFmtId="0" fontId="0" fillId="0" borderId="0" xfId="0" applyFont="1" applyBorder="1" applyAlignment="1">
      <alignment/>
    </xf>
    <xf numFmtId="171" fontId="0" fillId="0" borderId="7" xfId="15" applyBorder="1" applyAlignment="1">
      <alignment/>
    </xf>
    <xf numFmtId="178" fontId="1" fillId="0" borderId="2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03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IBS!$A$61:$A$67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IBS!$B$61:$B$67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IBS!$A$61:$A$67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IBS!$D$62:$D$68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19745324"/>
        <c:axId val="43490189"/>
      </c:bar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415"/>
          <c:w val="0.06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2"/>
          <c:w val="0.9195"/>
          <c:h val="0.9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IBS!$J$12:$J$51</c:f>
              <c:numCache/>
            </c:numRef>
          </c:xVal>
          <c:yVal>
            <c:numRef>
              <c:f>IBS!$K$12:$K$51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IBS!$J$12:$J$51</c:f>
              <c:numCache/>
            </c:numRef>
          </c:xVal>
          <c:yVal>
            <c:numRef>
              <c:f>IBS!$L$12:$L$51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IBS!$J$12:$J$51</c:f>
              <c:numCache/>
            </c:numRef>
          </c:xVal>
          <c:yVal>
            <c:numRef>
              <c:f>IBS!$M$12:$M$51</c:f>
              <c:numCache/>
            </c:numRef>
          </c:yVal>
          <c:smooth val="1"/>
        </c:ser>
        <c:axId val="55867382"/>
        <c:axId val="33044391"/>
      </c:scatterChart>
      <c:val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044391"/>
        <c:crosses val="autoZero"/>
        <c:crossBetween val="midCat"/>
        <c:dispUnits/>
      </c:valAx>
      <c:valAx>
        <c:axId val="3304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25"/>
          <c:w val="0.9195"/>
          <c:h val="0.90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'TT at LLO'!$J$11:$J$50</c:f>
              <c:numCache/>
            </c:numRef>
          </c:xVal>
          <c:yVal>
            <c:numRef>
              <c:f>'TT at LLO'!$K$11:$K$50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'TT at LLO'!$J$11:$J$50</c:f>
              <c:numCache/>
            </c:numRef>
          </c:xVal>
          <c:yVal>
            <c:numRef>
              <c:f>'TT at LLO'!$L$11:$L$50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'TT at LLO'!$J$11:$J$50</c:f>
              <c:numCache/>
            </c:numRef>
          </c:xVal>
          <c:yVal>
            <c:numRef>
              <c:f>'TT at LLO'!$M$11:$M$50</c:f>
              <c:numCache/>
            </c:numRef>
          </c:yVal>
          <c:smooth val="1"/>
        </c:ser>
        <c:axId val="28964064"/>
        <c:axId val="59349985"/>
      </c:scatterChart>
      <c:val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349985"/>
        <c:crosses val="autoZero"/>
        <c:crossBetween val="midCat"/>
        <c:dispUnits/>
      </c:valAx>
      <c:valAx>
        <c:axId val="593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2"/>
          <c:w val="0.9195"/>
          <c:h val="0.9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'IBS IOO'!$J$12:$J$51</c:f>
              <c:numCache/>
            </c:numRef>
          </c:xVal>
          <c:yVal>
            <c:numRef>
              <c:f>'IBS IOO'!$K$12:$K$51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'IBS IOO'!$J$12:$J$51</c:f>
              <c:numCache/>
            </c:numRef>
          </c:xVal>
          <c:yVal>
            <c:numRef>
              <c:f>'IBS IOO'!$L$12:$L$51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'IBS IOO'!$J$12:$J$51</c:f>
              <c:numCache/>
            </c:numRef>
          </c:xVal>
          <c:yVal>
            <c:numRef>
              <c:f>'IBS IOO'!$M$12:$M$51</c:f>
              <c:numCache/>
            </c:numRef>
          </c:yVal>
          <c:smooth val="1"/>
        </c:ser>
        <c:axId val="64387818"/>
        <c:axId val="42619451"/>
      </c:scatterChart>
      <c:valAx>
        <c:axId val="64387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619451"/>
        <c:crosses val="autoZero"/>
        <c:crossBetween val="midCat"/>
        <c:dispUnits/>
      </c:valAx>
      <c:valAx>
        <c:axId val="4261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56</xdr:row>
      <xdr:rowOff>66675</xdr:rowOff>
    </xdr:from>
    <xdr:to>
      <xdr:col>6</xdr:col>
      <xdr:colOff>676275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790950" y="8934450"/>
          <a:ext cx="1343025" cy="5524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56</xdr:row>
      <xdr:rowOff>104775</xdr:rowOff>
    </xdr:from>
    <xdr:to>
      <xdr:col>7</xdr:col>
      <xdr:colOff>123825</xdr:colOff>
      <xdr:row>60</xdr:row>
      <xdr:rowOff>9525</xdr:rowOff>
    </xdr:to>
    <xdr:sp>
      <xdr:nvSpPr>
        <xdr:cNvPr id="2" name="Line 2"/>
        <xdr:cNvSpPr>
          <a:spLocks/>
        </xdr:cNvSpPr>
      </xdr:nvSpPr>
      <xdr:spPr>
        <a:xfrm>
          <a:off x="5514975" y="8972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60</xdr:row>
      <xdr:rowOff>142875</xdr:rowOff>
    </xdr:from>
    <xdr:to>
      <xdr:col>6</xdr:col>
      <xdr:colOff>704850</xdr:colOff>
      <xdr:row>60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81425" y="96297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56</xdr:row>
      <xdr:rowOff>0</xdr:rowOff>
    </xdr:from>
    <xdr:to>
      <xdr:col>6</xdr:col>
      <xdr:colOff>619125</xdr:colOff>
      <xdr:row>59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24275" y="8867775"/>
          <a:ext cx="1352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1</xdr:row>
      <xdr:rowOff>47625</xdr:rowOff>
    </xdr:from>
    <xdr:to>
      <xdr:col>22</xdr:col>
      <xdr:colOff>381000</xdr:colOff>
      <xdr:row>30</xdr:row>
      <xdr:rowOff>66675</xdr:rowOff>
    </xdr:to>
    <xdr:graphicFrame>
      <xdr:nvGraphicFramePr>
        <xdr:cNvPr id="5" name="Chart 5"/>
        <xdr:cNvGraphicFramePr/>
      </xdr:nvGraphicFramePr>
      <xdr:xfrm>
        <a:off x="10896600" y="209550"/>
        <a:ext cx="47244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55</xdr:row>
      <xdr:rowOff>66675</xdr:rowOff>
    </xdr:from>
    <xdr:to>
      <xdr:col>6</xdr:col>
      <xdr:colOff>676275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790950" y="8667750"/>
          <a:ext cx="1343025" cy="5524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55</xdr:row>
      <xdr:rowOff>104775</xdr:rowOff>
    </xdr:from>
    <xdr:to>
      <xdr:col>7</xdr:col>
      <xdr:colOff>123825</xdr:colOff>
      <xdr:row>59</xdr:row>
      <xdr:rowOff>9525</xdr:rowOff>
    </xdr:to>
    <xdr:sp>
      <xdr:nvSpPr>
        <xdr:cNvPr id="2" name="Line 2"/>
        <xdr:cNvSpPr>
          <a:spLocks/>
        </xdr:cNvSpPr>
      </xdr:nvSpPr>
      <xdr:spPr>
        <a:xfrm>
          <a:off x="5514975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59</xdr:row>
      <xdr:rowOff>142875</xdr:rowOff>
    </xdr:from>
    <xdr:to>
      <xdr:col>6</xdr:col>
      <xdr:colOff>704850</xdr:colOff>
      <xdr:row>59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81425" y="9363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55</xdr:row>
      <xdr:rowOff>0</xdr:rowOff>
    </xdr:from>
    <xdr:to>
      <xdr:col>6</xdr:col>
      <xdr:colOff>619125</xdr:colOff>
      <xdr:row>58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24275" y="8601075"/>
          <a:ext cx="1352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1</xdr:row>
      <xdr:rowOff>47625</xdr:rowOff>
    </xdr:from>
    <xdr:to>
      <xdr:col>22</xdr:col>
      <xdr:colOff>381000</xdr:colOff>
      <xdr:row>29</xdr:row>
      <xdr:rowOff>66675</xdr:rowOff>
    </xdr:to>
    <xdr:graphicFrame>
      <xdr:nvGraphicFramePr>
        <xdr:cNvPr id="5" name="Chart 5"/>
        <xdr:cNvGraphicFramePr/>
      </xdr:nvGraphicFramePr>
      <xdr:xfrm>
        <a:off x="10896600" y="209550"/>
        <a:ext cx="4724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56</xdr:row>
      <xdr:rowOff>66675</xdr:rowOff>
    </xdr:from>
    <xdr:to>
      <xdr:col>6</xdr:col>
      <xdr:colOff>676275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790950" y="8934450"/>
          <a:ext cx="1343025" cy="5524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56</xdr:row>
      <xdr:rowOff>104775</xdr:rowOff>
    </xdr:from>
    <xdr:to>
      <xdr:col>7</xdr:col>
      <xdr:colOff>123825</xdr:colOff>
      <xdr:row>60</xdr:row>
      <xdr:rowOff>9525</xdr:rowOff>
    </xdr:to>
    <xdr:sp>
      <xdr:nvSpPr>
        <xdr:cNvPr id="2" name="Line 2"/>
        <xdr:cNvSpPr>
          <a:spLocks/>
        </xdr:cNvSpPr>
      </xdr:nvSpPr>
      <xdr:spPr>
        <a:xfrm>
          <a:off x="5514975" y="8972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60</xdr:row>
      <xdr:rowOff>142875</xdr:rowOff>
    </xdr:from>
    <xdr:to>
      <xdr:col>6</xdr:col>
      <xdr:colOff>704850</xdr:colOff>
      <xdr:row>60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81425" y="96297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56</xdr:row>
      <xdr:rowOff>0</xdr:rowOff>
    </xdr:from>
    <xdr:to>
      <xdr:col>6</xdr:col>
      <xdr:colOff>619125</xdr:colOff>
      <xdr:row>59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24275" y="8867775"/>
          <a:ext cx="1352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1</xdr:row>
      <xdr:rowOff>47625</xdr:rowOff>
    </xdr:from>
    <xdr:to>
      <xdr:col>22</xdr:col>
      <xdr:colOff>381000</xdr:colOff>
      <xdr:row>30</xdr:row>
      <xdr:rowOff>66675</xdr:rowOff>
    </xdr:to>
    <xdr:graphicFrame>
      <xdr:nvGraphicFramePr>
        <xdr:cNvPr id="5" name="Chart 5"/>
        <xdr:cNvGraphicFramePr/>
      </xdr:nvGraphicFramePr>
      <xdr:xfrm>
        <a:off x="10896600" y="209550"/>
        <a:ext cx="47244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zoomScale="125" zoomScaleNormal="125" workbookViewId="0" topLeftCell="A5">
      <selection activeCell="B18" sqref="B18"/>
    </sheetView>
  </sheetViews>
  <sheetFormatPr defaultColWidth="8.8515625" defaultRowHeight="12.75"/>
  <cols>
    <col min="1" max="1" width="17.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9" width="8.8515625" style="0" customWidth="1"/>
    <col min="10" max="10" width="11.421875" style="0" customWidth="1"/>
    <col min="11" max="11" width="10.28125" style="0" customWidth="1"/>
    <col min="12" max="12" width="11.28125" style="0" customWidth="1"/>
    <col min="13" max="17" width="8.8515625" style="0" customWidth="1"/>
    <col min="18" max="18" width="11.00390625" style="0" bestFit="1" customWidth="1"/>
    <col min="19" max="19" width="8.8515625" style="0" customWidth="1"/>
    <col min="20" max="20" width="15.140625" style="0" customWidth="1"/>
  </cols>
  <sheetData>
    <row r="1" spans="1:8" ht="12.75" thickBot="1">
      <c r="A1" t="s">
        <v>7</v>
      </c>
      <c r="H1" s="36"/>
    </row>
    <row r="2" spans="1:8" ht="12">
      <c r="A2" t="s">
        <v>43</v>
      </c>
      <c r="G2" s="37" t="s">
        <v>3</v>
      </c>
      <c r="H2" s="38"/>
    </row>
    <row r="3" spans="1:11" ht="12.75" thickBot="1">
      <c r="A3" t="s">
        <v>44</v>
      </c>
      <c r="G3" s="39" t="s">
        <v>4</v>
      </c>
      <c r="H3" s="40"/>
      <c r="K3" t="s">
        <v>28</v>
      </c>
    </row>
    <row r="4" spans="1:17" ht="12">
      <c r="A4" s="4" t="s">
        <v>116</v>
      </c>
      <c r="Q4" s="4"/>
    </row>
    <row r="5" spans="1:17" ht="12">
      <c r="A5" s="4" t="s">
        <v>117</v>
      </c>
      <c r="K5" t="s">
        <v>29</v>
      </c>
      <c r="Q5" s="4"/>
    </row>
    <row r="6" spans="1:17" ht="12">
      <c r="A6" s="26" t="s">
        <v>118</v>
      </c>
      <c r="Q6" s="4"/>
    </row>
    <row r="7" spans="1:17" ht="12">
      <c r="A7" s="18" t="s">
        <v>0</v>
      </c>
      <c r="G7" s="18"/>
      <c r="K7" t="s">
        <v>25</v>
      </c>
      <c r="L7">
        <f>B14*10</f>
        <v>50</v>
      </c>
      <c r="M7" t="s">
        <v>108</v>
      </c>
      <c r="Q7" s="4"/>
    </row>
    <row r="8" spans="1:14" ht="21">
      <c r="A8" s="72" t="s">
        <v>96</v>
      </c>
      <c r="G8" s="72" t="s">
        <v>97</v>
      </c>
      <c r="H8" s="24"/>
      <c r="K8" t="s">
        <v>30</v>
      </c>
      <c r="L8" s="67">
        <f>G19</f>
        <v>8.265174328537128</v>
      </c>
      <c r="M8" t="s">
        <v>108</v>
      </c>
      <c r="N8" s="3"/>
    </row>
    <row r="9" spans="1:14" ht="21">
      <c r="A9" s="84" t="s">
        <v>78</v>
      </c>
      <c r="G9" s="84" t="s">
        <v>44</v>
      </c>
      <c r="H9" s="24"/>
      <c r="L9" s="67"/>
      <c r="N9" s="3"/>
    </row>
    <row r="10" spans="4:13" ht="12">
      <c r="D10" s="2"/>
      <c r="L10" s="3"/>
      <c r="M10" s="68" t="s">
        <v>32</v>
      </c>
    </row>
    <row r="11" spans="1:13" ht="12">
      <c r="A11" t="s">
        <v>45</v>
      </c>
      <c r="J11" t="s">
        <v>26</v>
      </c>
      <c r="K11" t="s">
        <v>108</v>
      </c>
      <c r="L11" t="s">
        <v>31</v>
      </c>
      <c r="M11" t="s">
        <v>108</v>
      </c>
    </row>
    <row r="12" spans="10:13" ht="12">
      <c r="J12">
        <v>190</v>
      </c>
      <c r="M12">
        <f>J12*(1-COS($B$14*10/J12))</f>
        <v>6.541067755796371</v>
      </c>
    </row>
    <row r="13" spans="1:18" ht="12">
      <c r="A13" t="s">
        <v>50</v>
      </c>
      <c r="B13" s="3">
        <v>0.254</v>
      </c>
      <c r="C13" s="3" t="s">
        <v>108</v>
      </c>
      <c r="D13">
        <f>B13/1000</f>
        <v>0.000254</v>
      </c>
      <c r="E13" t="s">
        <v>61</v>
      </c>
      <c r="F13" t="s">
        <v>64</v>
      </c>
      <c r="G13" s="5">
        <f>(B19+B20+B21)/B22</f>
        <v>0.0627</v>
      </c>
      <c r="H13" s="5" t="s">
        <v>65</v>
      </c>
      <c r="J13">
        <f>J12+0.2</f>
        <v>190.2</v>
      </c>
      <c r="L13" s="3"/>
      <c r="M13">
        <f aca="true" t="shared" si="0" ref="M13:M27">J13*(1-COS($L$7/J13))</f>
        <v>6.534269015318565</v>
      </c>
      <c r="R13" s="1"/>
    </row>
    <row r="14" spans="1:13" ht="12">
      <c r="A14" t="s">
        <v>51</v>
      </c>
      <c r="B14" s="3">
        <v>5</v>
      </c>
      <c r="C14" s="3" t="s">
        <v>57</v>
      </c>
      <c r="D14">
        <f>B14/100</f>
        <v>0.05</v>
      </c>
      <c r="E14" t="s">
        <v>61</v>
      </c>
      <c r="F14" t="s">
        <v>59</v>
      </c>
      <c r="G14" s="5">
        <f>B19/B22</f>
        <v>0.0627</v>
      </c>
      <c r="H14" s="5" t="s">
        <v>65</v>
      </c>
      <c r="J14">
        <f aca="true" t="shared" si="1" ref="J14:J32">J13+0.2</f>
        <v>190.39999999999998</v>
      </c>
      <c r="L14" s="3"/>
      <c r="M14">
        <f>J14*(1-COS($L$7/J14))</f>
        <v>6.527484309004384</v>
      </c>
    </row>
    <row r="15" spans="1:13" ht="12">
      <c r="A15" t="s">
        <v>52</v>
      </c>
      <c r="B15" s="3">
        <v>2.6</v>
      </c>
      <c r="C15" s="3" t="s">
        <v>57</v>
      </c>
      <c r="D15">
        <f>B15/100</f>
        <v>0.026000000000000002</v>
      </c>
      <c r="E15" t="s">
        <v>61</v>
      </c>
      <c r="F15" t="s">
        <v>54</v>
      </c>
      <c r="G15" s="53">
        <f>G13*9.81</f>
        <v>0.615087</v>
      </c>
      <c r="J15">
        <f t="shared" si="1"/>
        <v>190.59999999999997</v>
      </c>
      <c r="L15" s="5"/>
      <c r="M15">
        <f t="shared" si="0"/>
        <v>6.520713593714005</v>
      </c>
    </row>
    <row r="16" spans="2:13" ht="12">
      <c r="B16" s="3"/>
      <c r="C16" s="3"/>
      <c r="F16" t="s">
        <v>56</v>
      </c>
      <c r="G16" s="54">
        <f>D15*D13^3/12</f>
        <v>3.550530533333333E-14</v>
      </c>
      <c r="J16">
        <f t="shared" si="1"/>
        <v>190.79999999999995</v>
      </c>
      <c r="L16" s="5"/>
      <c r="M16">
        <f t="shared" si="0"/>
        <v>6.513956826483104</v>
      </c>
    </row>
    <row r="17" spans="1:13" ht="12">
      <c r="A17" t="s">
        <v>80</v>
      </c>
      <c r="B17" s="3">
        <v>0.124</v>
      </c>
      <c r="C17" s="3" t="s">
        <v>65</v>
      </c>
      <c r="J17">
        <f t="shared" si="1"/>
        <v>190.99999999999994</v>
      </c>
      <c r="L17" s="5"/>
      <c r="M17">
        <f t="shared" si="0"/>
        <v>6.507213964521866</v>
      </c>
    </row>
    <row r="18" spans="1:13" ht="12.75" thickBot="1">
      <c r="A18" t="s">
        <v>84</v>
      </c>
      <c r="B18" s="3">
        <f>2*0.0007</f>
        <v>0.0014</v>
      </c>
      <c r="C18" s="3" t="s">
        <v>65</v>
      </c>
      <c r="J18">
        <f t="shared" si="1"/>
        <v>191.19999999999993</v>
      </c>
      <c r="M18">
        <f t="shared" si="0"/>
        <v>6.500484965214231</v>
      </c>
    </row>
    <row r="19" spans="1:15" ht="12">
      <c r="A19" t="s">
        <v>85</v>
      </c>
      <c r="B19">
        <f>B18+B17</f>
        <v>0.1254</v>
      </c>
      <c r="C19" t="s">
        <v>65</v>
      </c>
      <c r="F19" s="25" t="s">
        <v>63</v>
      </c>
      <c r="G19" s="75">
        <f>B25*G15*(D14^3)/(3*B24*G16)*1000</f>
        <v>8.265174328537128</v>
      </c>
      <c r="H19" s="29" t="s">
        <v>108</v>
      </c>
      <c r="I19" s="2"/>
      <c r="J19">
        <f t="shared" si="1"/>
        <v>191.39999999999992</v>
      </c>
      <c r="M19">
        <f t="shared" si="0"/>
        <v>6.493769786116973</v>
      </c>
      <c r="O19" s="2"/>
    </row>
    <row r="20" spans="1:13" ht="12">
      <c r="A20" t="s">
        <v>81</v>
      </c>
      <c r="B20" s="3">
        <v>0</v>
      </c>
      <c r="C20" s="3" t="s">
        <v>65</v>
      </c>
      <c r="F20" s="35"/>
      <c r="G20" s="10"/>
      <c r="H20" s="20"/>
      <c r="J20">
        <f t="shared" si="1"/>
        <v>191.5999999999999</v>
      </c>
      <c r="M20">
        <f>J20*(1-COS($L$7/J20))</f>
        <v>6.487068384958788</v>
      </c>
    </row>
    <row r="21" spans="1:13" ht="12">
      <c r="A21" t="s">
        <v>82</v>
      </c>
      <c r="B21" s="3">
        <v>0</v>
      </c>
      <c r="C21" s="3" t="s">
        <v>65</v>
      </c>
      <c r="F21" s="35" t="s">
        <v>58</v>
      </c>
      <c r="G21" s="69">
        <f>1/(2*PI())*((B24*D15*D13^3)/(4*G14*D14^3*B25))^0.5</f>
        <v>5.483131054763758</v>
      </c>
      <c r="H21" s="28" t="s">
        <v>60</v>
      </c>
      <c r="J21" s="4">
        <f t="shared" si="1"/>
        <v>191.7999999999999</v>
      </c>
      <c r="K21" s="4"/>
      <c r="L21" s="4"/>
      <c r="M21" s="4">
        <f t="shared" si="0"/>
        <v>6.480380719639501</v>
      </c>
    </row>
    <row r="22" spans="1:18" ht="12">
      <c r="A22" t="s">
        <v>83</v>
      </c>
      <c r="B22" s="3">
        <v>2</v>
      </c>
      <c r="C22" s="3"/>
      <c r="F22" s="35"/>
      <c r="G22" s="10"/>
      <c r="H22" s="28"/>
      <c r="J22">
        <f t="shared" si="1"/>
        <v>191.9999999999999</v>
      </c>
      <c r="M22">
        <f t="shared" si="0"/>
        <v>6.473706748229144</v>
      </c>
      <c r="P22" s="2"/>
      <c r="Q22" s="2"/>
      <c r="R22" s="2"/>
    </row>
    <row r="23" spans="6:16" ht="12">
      <c r="F23" s="35" t="s">
        <v>66</v>
      </c>
      <c r="G23" s="44">
        <f>(6*G15*D14)/(D15*D13^2)/1000000</f>
        <v>110.00616424309774</v>
      </c>
      <c r="H23" s="28" t="s">
        <v>62</v>
      </c>
      <c r="J23">
        <f t="shared" si="1"/>
        <v>192.19999999999987</v>
      </c>
      <c r="K23" s="71"/>
      <c r="L23" s="71"/>
      <c r="M23" s="71">
        <f>J23*(1-COS($L$7/J23))</f>
        <v>6.467046428967158</v>
      </c>
      <c r="O23" s="10"/>
      <c r="P23" s="71"/>
    </row>
    <row r="24" spans="1:16" ht="12">
      <c r="A24" t="s">
        <v>55</v>
      </c>
      <c r="B24" s="1">
        <v>131000000000</v>
      </c>
      <c r="C24" s="3" t="s">
        <v>49</v>
      </c>
      <c r="F24" s="9"/>
      <c r="G24" s="10" t="str">
        <f>IF(G23&gt;G25,"**BAD!**","Good")</f>
        <v>Good</v>
      </c>
      <c r="H24" s="30"/>
      <c r="I24" s="4"/>
      <c r="J24">
        <f t="shared" si="1"/>
        <v>192.39999999999986</v>
      </c>
      <c r="K24" s="70"/>
      <c r="L24" s="70"/>
      <c r="M24" s="83">
        <f t="shared" si="0"/>
        <v>6.46039972026153</v>
      </c>
      <c r="O24" s="10"/>
      <c r="P24" s="71"/>
    </row>
    <row r="25" spans="1:15" ht="12.75" thickBot="1">
      <c r="A25" t="s">
        <v>53</v>
      </c>
      <c r="B25" s="3">
        <v>1.5</v>
      </c>
      <c r="C25" s="4" t="s">
        <v>36</v>
      </c>
      <c r="F25" s="31" t="s">
        <v>86</v>
      </c>
      <c r="G25" s="32">
        <v>400</v>
      </c>
      <c r="H25" s="15" t="s">
        <v>49</v>
      </c>
      <c r="J25">
        <f t="shared" si="1"/>
        <v>192.59999999999985</v>
      </c>
      <c r="M25">
        <f t="shared" si="0"/>
        <v>6.453766580687883</v>
      </c>
      <c r="O25" s="10"/>
    </row>
    <row r="26" spans="10:20" ht="12.75" thickBot="1">
      <c r="J26">
        <f t="shared" si="1"/>
        <v>192.79999999999984</v>
      </c>
      <c r="M26">
        <f>J26*(1-COS($L$7/J26))</f>
        <v>6.447146968988739</v>
      </c>
      <c r="O26" s="10"/>
      <c r="P26" s="10"/>
      <c r="Q26" s="10"/>
      <c r="R26" s="10"/>
      <c r="S26" s="10"/>
      <c r="T26" s="10"/>
    </row>
    <row r="27" spans="1:20" ht="12">
      <c r="A27" t="s">
        <v>38</v>
      </c>
      <c r="B27">
        <f>(B14*10/J53)*180/PI()</f>
        <v>14.858863981608485</v>
      </c>
      <c r="D27" s="25" t="s">
        <v>1</v>
      </c>
      <c r="E27" s="7"/>
      <c r="F27" s="7"/>
      <c r="G27" s="7"/>
      <c r="H27" s="8"/>
      <c r="J27">
        <f t="shared" si="1"/>
        <v>192.99999999999983</v>
      </c>
      <c r="M27">
        <f t="shared" si="0"/>
        <v>6.440540844072647</v>
      </c>
      <c r="O27" s="10"/>
      <c r="P27" s="10"/>
      <c r="Q27" s="10"/>
      <c r="R27" s="10"/>
      <c r="S27" s="10"/>
      <c r="T27" s="10"/>
    </row>
    <row r="28" spans="1:20" ht="12">
      <c r="A28" t="s">
        <v>39</v>
      </c>
      <c r="B28">
        <f>SQRT(J21^2-(J21-G19*10)^2)+2</f>
        <v>159.71460952035324</v>
      </c>
      <c r="D28" s="9" t="s">
        <v>67</v>
      </c>
      <c r="E28" s="10"/>
      <c r="F28" s="10">
        <v>0.37</v>
      </c>
      <c r="G28" s="10"/>
      <c r="H28" s="11"/>
      <c r="J28">
        <f t="shared" si="1"/>
        <v>193.19999999999982</v>
      </c>
      <c r="M28">
        <f>J28*(1-COS($L$7/J28))</f>
        <v>6.433948165013314</v>
      </c>
      <c r="P28" s="10"/>
      <c r="Q28" s="10"/>
      <c r="R28" s="10"/>
      <c r="S28" s="10"/>
      <c r="T28" s="10"/>
    </row>
    <row r="29" spans="1:20" ht="12">
      <c r="A29" t="s">
        <v>41</v>
      </c>
      <c r="B29">
        <f>B14*10+2-B28</f>
        <v>-107.71460952035324</v>
      </c>
      <c r="C29" s="1"/>
      <c r="D29" s="9" t="s">
        <v>50</v>
      </c>
      <c r="E29" s="10"/>
      <c r="F29" s="10">
        <v>0.002</v>
      </c>
      <c r="G29" s="44">
        <f>D13/F29*(F28/D14)^2*F30</f>
        <v>382.49859999999995</v>
      </c>
      <c r="H29" s="28" t="s">
        <v>60</v>
      </c>
      <c r="J29">
        <f t="shared" si="1"/>
        <v>193.3999999999998</v>
      </c>
      <c r="M29">
        <f>J29*(1-COS($L$7/J29))</f>
        <v>6.4273688910488405</v>
      </c>
      <c r="P29" s="10"/>
      <c r="Q29" s="10"/>
      <c r="R29" s="10"/>
      <c r="S29" s="12"/>
      <c r="T29" s="10"/>
    </row>
    <row r="30" spans="1:20" ht="12.75" thickBot="1">
      <c r="A30">
        <v>0.7</v>
      </c>
      <c r="C30" s="3"/>
      <c r="D30" s="13" t="s">
        <v>68</v>
      </c>
      <c r="E30" s="14"/>
      <c r="F30" s="14">
        <v>55</v>
      </c>
      <c r="G30" s="14"/>
      <c r="H30" s="15"/>
      <c r="J30">
        <f t="shared" si="1"/>
        <v>193.5999999999998</v>
      </c>
      <c r="M30">
        <f>J30*(1-COS($L$7/J30))</f>
        <v>6.42080298158085</v>
      </c>
      <c r="P30" s="10"/>
      <c r="Q30" s="10"/>
      <c r="R30" s="10"/>
      <c r="S30" s="10"/>
      <c r="T30" s="10"/>
    </row>
    <row r="31" spans="10:13" ht="12">
      <c r="J31">
        <f t="shared" si="1"/>
        <v>193.79999999999978</v>
      </c>
      <c r="M31">
        <f>J31*(1-COS($L$7/J31))</f>
        <v>6.414250396173715</v>
      </c>
    </row>
    <row r="32" spans="10:13" ht="12">
      <c r="J32">
        <f t="shared" si="1"/>
        <v>193.99999999999977</v>
      </c>
      <c r="M32">
        <f>J32*(1-COS($L$7/J32))</f>
        <v>6.407711094553765</v>
      </c>
    </row>
    <row r="34" spans="1:13" ht="12">
      <c r="A34" t="s">
        <v>2</v>
      </c>
      <c r="J34">
        <v>600</v>
      </c>
      <c r="M34">
        <f>J34*(1-COS($B$37*10/J34))</f>
        <v>4.078703875535994</v>
      </c>
    </row>
    <row r="35" spans="10:13" ht="12">
      <c r="J35">
        <f aca="true" t="shared" si="2" ref="J35:J51">J34+2</f>
        <v>602</v>
      </c>
      <c r="M35">
        <f aca="true" t="shared" si="3" ref="M35:M51">J35*(1-COS($B$37*10/J35))</f>
        <v>4.065183957922491</v>
      </c>
    </row>
    <row r="36" spans="1:13" ht="12">
      <c r="A36" t="s">
        <v>50</v>
      </c>
      <c r="B36" s="3">
        <v>0.5</v>
      </c>
      <c r="C36" s="3" t="s">
        <v>108</v>
      </c>
      <c r="D36">
        <f>B36/1000</f>
        <v>0.0005</v>
      </c>
      <c r="E36" t="s">
        <v>61</v>
      </c>
      <c r="F36" t="s">
        <v>64</v>
      </c>
      <c r="G36" s="73">
        <f>B40/B42+B41</f>
        <v>0.0634</v>
      </c>
      <c r="H36" s="5" t="s">
        <v>65</v>
      </c>
      <c r="I36" s="2"/>
      <c r="J36">
        <f t="shared" si="2"/>
        <v>604</v>
      </c>
      <c r="M36">
        <f t="shared" si="3"/>
        <v>4.051753273966258</v>
      </c>
    </row>
    <row r="37" spans="1:13" ht="12">
      <c r="A37" t="s">
        <v>51</v>
      </c>
      <c r="B37" s="3">
        <v>7</v>
      </c>
      <c r="C37" s="3" t="s">
        <v>57</v>
      </c>
      <c r="D37">
        <f>B37/100</f>
        <v>0.07</v>
      </c>
      <c r="E37" t="s">
        <v>61</v>
      </c>
      <c r="F37" t="s">
        <v>59</v>
      </c>
      <c r="G37" s="5">
        <f>B40/B42+B41</f>
        <v>0.0634</v>
      </c>
      <c r="H37" s="5" t="s">
        <v>65</v>
      </c>
      <c r="J37">
        <f t="shared" si="2"/>
        <v>606</v>
      </c>
      <c r="M37">
        <f t="shared" si="3"/>
        <v>4.0384109441327825</v>
      </c>
    </row>
    <row r="38" spans="1:13" ht="12">
      <c r="A38" t="s">
        <v>52</v>
      </c>
      <c r="B38" s="3">
        <v>2</v>
      </c>
      <c r="C38" s="3" t="s">
        <v>57</v>
      </c>
      <c r="D38">
        <f>B38/100</f>
        <v>0.02</v>
      </c>
      <c r="E38" t="s">
        <v>61</v>
      </c>
      <c r="F38" t="s">
        <v>54</v>
      </c>
      <c r="G38" s="53">
        <f>G36*9.81</f>
        <v>0.621954</v>
      </c>
      <c r="J38">
        <f t="shared" si="2"/>
        <v>608</v>
      </c>
      <c r="M38">
        <f t="shared" si="3"/>
        <v>4.025156100395392</v>
      </c>
    </row>
    <row r="39" spans="2:13" ht="12">
      <c r="B39" s="3"/>
      <c r="C39" s="3"/>
      <c r="F39" t="s">
        <v>56</v>
      </c>
      <c r="G39" s="55">
        <f>D38*D36^3/12</f>
        <v>2.0833333333333335E-13</v>
      </c>
      <c r="J39">
        <f t="shared" si="2"/>
        <v>610</v>
      </c>
      <c r="K39" s="71"/>
      <c r="L39" s="71"/>
      <c r="M39">
        <f t="shared" si="3"/>
        <v>4.011987886048126</v>
      </c>
    </row>
    <row r="40" spans="1:13" ht="12.75" thickBot="1">
      <c r="A40" t="s">
        <v>81</v>
      </c>
      <c r="B40" s="3">
        <v>0.124</v>
      </c>
      <c r="C40" s="3" t="s">
        <v>65</v>
      </c>
      <c r="J40">
        <f t="shared" si="2"/>
        <v>612</v>
      </c>
      <c r="M40">
        <f t="shared" si="3"/>
        <v>3.998905455521817</v>
      </c>
    </row>
    <row r="41" spans="1:13" ht="12">
      <c r="A41" t="s">
        <v>82</v>
      </c>
      <c r="B41" s="3">
        <f>2*0.0007</f>
        <v>0.0014</v>
      </c>
      <c r="C41" s="3" t="s">
        <v>65</v>
      </c>
      <c r="F41" s="6" t="s">
        <v>63</v>
      </c>
      <c r="G41" s="75">
        <f>B44*G38*(D37^3)/(3*B43*G39)*1000</f>
        <v>3.908339945038169</v>
      </c>
      <c r="H41" s="29" t="s">
        <v>108</v>
      </c>
      <c r="J41">
        <f t="shared" si="2"/>
        <v>614</v>
      </c>
      <c r="M41">
        <f t="shared" si="3"/>
        <v>3.9859079742038634</v>
      </c>
    </row>
    <row r="42" spans="1:13" ht="12">
      <c r="A42" t="s">
        <v>83</v>
      </c>
      <c r="B42" s="3">
        <v>2</v>
      </c>
      <c r="C42" s="3"/>
      <c r="F42" s="9"/>
      <c r="G42" s="10"/>
      <c r="H42" s="11"/>
      <c r="J42">
        <f t="shared" si="2"/>
        <v>616</v>
      </c>
      <c r="M42">
        <f t="shared" si="3"/>
        <v>3.9729946182618585</v>
      </c>
    </row>
    <row r="43" spans="1:13" ht="12">
      <c r="A43" t="s">
        <v>55</v>
      </c>
      <c r="B43" s="34">
        <v>131000000000</v>
      </c>
      <c r="F43" s="9" t="s">
        <v>58</v>
      </c>
      <c r="G43" s="64">
        <f>1/(2*PI())*((B43*D38*D36^3)/(4*G37*D37^3*B44))^0.5</f>
        <v>7.973673887872176</v>
      </c>
      <c r="H43" s="28" t="s">
        <v>60</v>
      </c>
      <c r="J43">
        <f t="shared" si="2"/>
        <v>618</v>
      </c>
      <c r="M43">
        <f t="shared" si="3"/>
        <v>3.9601645744697316</v>
      </c>
    </row>
    <row r="44" spans="1:13" ht="12">
      <c r="A44" t="s">
        <v>53</v>
      </c>
      <c r="B44" s="3">
        <v>1.5</v>
      </c>
      <c r="C44" t="s">
        <v>36</v>
      </c>
      <c r="F44" s="9"/>
      <c r="G44" s="10"/>
      <c r="H44" s="11"/>
      <c r="J44">
        <f t="shared" si="2"/>
        <v>620</v>
      </c>
      <c r="M44">
        <f t="shared" si="3"/>
        <v>3.9474170400382502</v>
      </c>
    </row>
    <row r="45" spans="6:13" ht="12">
      <c r="F45" s="9" t="s">
        <v>66</v>
      </c>
      <c r="G45" s="44">
        <f>(6*G38*D37)/(D38*D36^2)/1000000</f>
        <v>52.244136000000005</v>
      </c>
      <c r="H45" s="28" t="s">
        <v>62</v>
      </c>
      <c r="J45">
        <f t="shared" si="2"/>
        <v>622</v>
      </c>
      <c r="M45">
        <f t="shared" si="3"/>
        <v>3.9347512224483716</v>
      </c>
    </row>
    <row r="46" spans="2:13" ht="12.75" thickBot="1">
      <c r="B46" t="s">
        <v>48</v>
      </c>
      <c r="F46" s="13"/>
      <c r="G46" s="14" t="str">
        <f>IF($G$45&gt;$G$25,"**BAD!**","Good")</f>
        <v>Good</v>
      </c>
      <c r="H46" s="15"/>
      <c r="J46">
        <f t="shared" si="2"/>
        <v>624</v>
      </c>
      <c r="M46">
        <f t="shared" si="3"/>
        <v>3.9221663392872</v>
      </c>
    </row>
    <row r="47" spans="1:13" ht="12">
      <c r="A47" t="s">
        <v>38</v>
      </c>
      <c r="B47">
        <f>(B37*10/J54)*180/PI()</f>
        <v>6.406876303379812</v>
      </c>
      <c r="J47" s="4">
        <f t="shared" si="2"/>
        <v>626</v>
      </c>
      <c r="K47" s="4"/>
      <c r="L47" s="4"/>
      <c r="M47" s="4">
        <f t="shared" si="3"/>
        <v>3.9096616180880233</v>
      </c>
    </row>
    <row r="48" spans="1:13" ht="12.75" thickBot="1">
      <c r="A48" t="s">
        <v>39</v>
      </c>
      <c r="B48">
        <f>SQRT(J54^2-(J54-G41*10)^2)+2</f>
        <v>219.72667268683395</v>
      </c>
      <c r="J48">
        <f t="shared" si="2"/>
        <v>628</v>
      </c>
      <c r="M48">
        <f t="shared" si="3"/>
        <v>3.89723629617293</v>
      </c>
    </row>
    <row r="49" spans="1:13" ht="12">
      <c r="A49" t="s">
        <v>40</v>
      </c>
      <c r="B49">
        <f>B37*10+2-B48</f>
        <v>-147.72667268683395</v>
      </c>
      <c r="C49" s="1"/>
      <c r="D49" s="25" t="s">
        <v>42</v>
      </c>
      <c r="E49" s="7"/>
      <c r="F49" s="7"/>
      <c r="G49" s="7"/>
      <c r="H49" s="8"/>
      <c r="J49">
        <f t="shared" si="2"/>
        <v>630</v>
      </c>
      <c r="M49">
        <f t="shared" si="3"/>
        <v>3.884889620498063</v>
      </c>
    </row>
    <row r="50" spans="3:13" ht="12">
      <c r="C50" s="3"/>
      <c r="D50" s="9" t="s">
        <v>67</v>
      </c>
      <c r="E50" s="10"/>
      <c r="F50" s="10">
        <v>0.37</v>
      </c>
      <c r="G50" s="10"/>
      <c r="H50" s="11"/>
      <c r="J50">
        <f t="shared" si="2"/>
        <v>632</v>
      </c>
      <c r="M50">
        <f t="shared" si="3"/>
        <v>3.87262084750261</v>
      </c>
    </row>
    <row r="51" spans="2:13" ht="12">
      <c r="B51" s="3"/>
      <c r="C51" s="3"/>
      <c r="D51" s="9" t="s">
        <v>50</v>
      </c>
      <c r="E51" s="10"/>
      <c r="F51" s="10">
        <v>0.002</v>
      </c>
      <c r="G51" s="44">
        <f>D36/F51*(F50/D37)^2*F52</f>
        <v>384.15816326530614</v>
      </c>
      <c r="H51" s="28" t="s">
        <v>60</v>
      </c>
      <c r="I51" s="10"/>
      <c r="J51">
        <f t="shared" si="2"/>
        <v>634</v>
      </c>
      <c r="M51">
        <f t="shared" si="3"/>
        <v>3.8604292429596176</v>
      </c>
    </row>
    <row r="52" spans="4:8" ht="12.75" thickBot="1">
      <c r="D52" s="13" t="s">
        <v>68</v>
      </c>
      <c r="E52" s="14"/>
      <c r="F52" s="14">
        <v>55</v>
      </c>
      <c r="G52" s="14"/>
      <c r="H52" s="15"/>
    </row>
    <row r="53" spans="4:13" ht="12">
      <c r="D53" s="10"/>
      <c r="E53" s="10"/>
      <c r="F53" s="10"/>
      <c r="G53" s="10"/>
      <c r="H53" s="10"/>
      <c r="I53" t="s">
        <v>46</v>
      </c>
      <c r="J53">
        <v>192.8</v>
      </c>
      <c r="M53">
        <f>J53*(1-COS($L$7/J53))</f>
        <v>6.447146968988745</v>
      </c>
    </row>
    <row r="54" spans="4:13" ht="12">
      <c r="D54" s="10"/>
      <c r="E54" s="10"/>
      <c r="F54" s="10"/>
      <c r="G54" s="10"/>
      <c r="H54" s="10"/>
      <c r="I54" t="s">
        <v>37</v>
      </c>
      <c r="J54" s="74">
        <v>626</v>
      </c>
      <c r="K54" s="74"/>
      <c r="L54" s="74"/>
      <c r="M54" s="74">
        <f>J54*(1-COS($B$37*10/J54))</f>
        <v>3.9096616180880233</v>
      </c>
    </row>
    <row r="55" spans="4:13" ht="12">
      <c r="D55" s="10"/>
      <c r="E55" s="10"/>
      <c r="F55" s="10"/>
      <c r="G55" s="10"/>
      <c r="H55" s="10"/>
      <c r="J55">
        <v>138.3</v>
      </c>
      <c r="M55">
        <f>J55*(1-COS($L$7/J55))</f>
        <v>8.94030346490971</v>
      </c>
    </row>
    <row r="56" spans="4:13" ht="12">
      <c r="D56" s="10"/>
      <c r="E56" s="10"/>
      <c r="F56" s="10"/>
      <c r="G56" s="10"/>
      <c r="H56" s="10"/>
      <c r="J56">
        <v>138.1</v>
      </c>
      <c r="M56">
        <f>J56*(1-COS($L$7/J56))</f>
        <v>8.95296776256143</v>
      </c>
    </row>
    <row r="58" ht="12">
      <c r="F58" t="s">
        <v>17</v>
      </c>
    </row>
    <row r="59" ht="12">
      <c r="H59" t="s">
        <v>13</v>
      </c>
    </row>
    <row r="60" spans="1:6" ht="12">
      <c r="A60" s="16" t="s">
        <v>102</v>
      </c>
      <c r="E60" t="s">
        <v>15</v>
      </c>
      <c r="F60" t="s">
        <v>16</v>
      </c>
    </row>
    <row r="61" spans="1:7" ht="12">
      <c r="G61" t="s">
        <v>14</v>
      </c>
    </row>
    <row r="62" spans="1:6" ht="12">
      <c r="F62" s="2"/>
    </row>
    <row r="63" spans="1:8" ht="12">
      <c r="A63" t="s">
        <v>106</v>
      </c>
      <c r="B63" s="3">
        <v>75</v>
      </c>
      <c r="C63" s="3" t="s">
        <v>108</v>
      </c>
      <c r="D63">
        <f>B63/1000</f>
        <v>0.075</v>
      </c>
      <c r="E63" s="10"/>
      <c r="F63" s="10" t="s">
        <v>98</v>
      </c>
      <c r="G63" s="50">
        <f>B66*PI()*D63^2*D64</f>
        <v>2.9184414004144927</v>
      </c>
      <c r="H63" t="s">
        <v>65</v>
      </c>
    </row>
    <row r="64" spans="1:7" ht="12">
      <c r="A64" t="s">
        <v>50</v>
      </c>
      <c r="B64" s="3">
        <v>75</v>
      </c>
      <c r="C64" s="3" t="s">
        <v>108</v>
      </c>
      <c r="D64">
        <f>B64/1000</f>
        <v>0.075</v>
      </c>
      <c r="E64" s="10"/>
      <c r="F64" s="10" t="s">
        <v>99</v>
      </c>
      <c r="G64" s="49">
        <f>G63*D63^2/2</f>
        <v>0.008208116438665761</v>
      </c>
    </row>
    <row r="65" spans="1:7" ht="12">
      <c r="A65" t="s">
        <v>105</v>
      </c>
      <c r="B65" s="3">
        <v>50</v>
      </c>
      <c r="C65" s="3" t="s">
        <v>108</v>
      </c>
      <c r="D65">
        <f>B65/1000</f>
        <v>0.05</v>
      </c>
      <c r="E65" s="10"/>
      <c r="F65" s="10" t="s">
        <v>100</v>
      </c>
      <c r="G65" s="49">
        <f>G63*(D63^2/4+D64^2/12)</f>
        <v>0.005472077625777174</v>
      </c>
    </row>
    <row r="66" spans="1:7" ht="12">
      <c r="A66" t="s">
        <v>5</v>
      </c>
      <c r="B66" s="3">
        <v>2202</v>
      </c>
      <c r="C66" s="27"/>
      <c r="F66" s="10" t="s">
        <v>101</v>
      </c>
      <c r="G66" s="49">
        <f>G65</f>
        <v>0.005472077625777174</v>
      </c>
    </row>
    <row r="67" ht="12.75"/>
    <row r="68" spans="1:3" ht="12.75" thickBot="1">
      <c r="A68" t="s">
        <v>6</v>
      </c>
      <c r="B68">
        <f>D65/2</f>
        <v>0.025</v>
      </c>
      <c r="C68" t="s">
        <v>61</v>
      </c>
    </row>
    <row r="69" spans="1:8" ht="12">
      <c r="A69" t="s">
        <v>107</v>
      </c>
      <c r="B69" s="51">
        <f>(D63^2-B68^2)^0.5</f>
        <v>0.07071067811865475</v>
      </c>
      <c r="C69" t="s">
        <v>61</v>
      </c>
      <c r="E69" s="25" t="s">
        <v>112</v>
      </c>
      <c r="F69" s="45">
        <f>1000*(D63-B69)</f>
        <v>4.289321881345246</v>
      </c>
      <c r="G69" s="29" t="s">
        <v>108</v>
      </c>
      <c r="H69" s="12"/>
    </row>
    <row r="70" spans="1:7" ht="12.75" thickBot="1">
      <c r="A70" t="s">
        <v>109</v>
      </c>
      <c r="B70" s="52">
        <f>ASIN(B68/D63)*180/PI()</f>
        <v>19.471220634490695</v>
      </c>
      <c r="E70" s="46" t="s">
        <v>23</v>
      </c>
      <c r="F70" s="47">
        <f>((2*B70*PI()*D63^2)/360-(B69*B68))*B66*1000*D64</f>
        <v>23.75115669706305</v>
      </c>
      <c r="G70" s="33" t="s">
        <v>110</v>
      </c>
    </row>
    <row r="72" ht="12">
      <c r="A72" s="4" t="s">
        <v>18</v>
      </c>
    </row>
    <row r="73" spans="1:5" ht="12">
      <c r="A73" s="4"/>
      <c r="D73" t="s">
        <v>99</v>
      </c>
      <c r="E73" s="58">
        <f>(B75/1000)*(D64^2+D65^2)/12</f>
        <v>1.62139453125E-05</v>
      </c>
    </row>
    <row r="74" spans="1:8" ht="12">
      <c r="A74" s="3" t="s">
        <v>113</v>
      </c>
      <c r="B74" s="3">
        <v>0.0029</v>
      </c>
      <c r="D74" t="s">
        <v>100</v>
      </c>
      <c r="E74">
        <f>(1/12*(B75/1000)*(B74^2+D65^2))+((B75/1000)*B76^2)</f>
        <v>0.00013454808759750001</v>
      </c>
      <c r="F74" s="61" t="s">
        <v>21</v>
      </c>
      <c r="G74" s="62" t="s">
        <v>22</v>
      </c>
      <c r="H74" s="12"/>
    </row>
    <row r="75" spans="1:7" ht="12">
      <c r="A75" s="60" t="s">
        <v>111</v>
      </c>
      <c r="B75" s="60">
        <f>B66*D65*D64*B74*1000</f>
        <v>23.946749999999998</v>
      </c>
      <c r="C75" t="s">
        <v>110</v>
      </c>
      <c r="D75" t="s">
        <v>101</v>
      </c>
      <c r="E75">
        <f>(1/12*(B75/1000)*(B74^2+D64^2))+((B75/1000)*B76^2)</f>
        <v>0.00014078422041000004</v>
      </c>
      <c r="G75" s="60" t="s">
        <v>23</v>
      </c>
    </row>
    <row r="76" spans="1:3" ht="12">
      <c r="A76" t="s">
        <v>115</v>
      </c>
      <c r="B76">
        <f>D63-B74/2</f>
        <v>0.07355</v>
      </c>
      <c r="C76" t="s">
        <v>61</v>
      </c>
    </row>
    <row r="77" ht="12.75" thickBot="1"/>
    <row r="78" spans="1:7" ht="12">
      <c r="A78" s="4" t="s">
        <v>27</v>
      </c>
      <c r="E78" s="25" t="s">
        <v>98</v>
      </c>
      <c r="F78" s="65">
        <f>G63-2*(F70/1000)</f>
        <v>2.870939087020367</v>
      </c>
      <c r="G78" s="29" t="s">
        <v>65</v>
      </c>
    </row>
    <row r="79" spans="1:8" ht="12">
      <c r="A79" s="4" t="s">
        <v>20</v>
      </c>
      <c r="E79" s="35" t="s">
        <v>99</v>
      </c>
      <c r="F79" s="42">
        <f>G64-2*E73</f>
        <v>0.00817568854804076</v>
      </c>
      <c r="G79" s="28"/>
      <c r="H79" s="12"/>
    </row>
    <row r="80" spans="5:7" ht="12">
      <c r="E80" s="35" t="s">
        <v>100</v>
      </c>
      <c r="F80" s="41">
        <f>G65-2*E74</f>
        <v>0.005202981450582174</v>
      </c>
      <c r="G80" s="11"/>
    </row>
    <row r="81" spans="5:7" ht="12.75" thickBot="1">
      <c r="E81" s="46" t="s">
        <v>101</v>
      </c>
      <c r="F81" s="56">
        <f>G66-2*E75</f>
        <v>0.005190509184957174</v>
      </c>
      <c r="G81" s="33"/>
    </row>
    <row r="82" spans="5:7" ht="12">
      <c r="E82" s="12"/>
      <c r="F82" s="41"/>
      <c r="G82" s="12"/>
    </row>
    <row r="83" spans="5:7" ht="12">
      <c r="E83" s="12"/>
      <c r="F83" s="41"/>
      <c r="G83" s="12"/>
    </row>
    <row r="84" spans="5:8" ht="12">
      <c r="E84" s="12"/>
      <c r="F84" s="10" t="s">
        <v>98</v>
      </c>
      <c r="G84" s="50">
        <f>G63</f>
        <v>2.9184414004144927</v>
      </c>
      <c r="H84" t="s">
        <v>65</v>
      </c>
    </row>
    <row r="85" spans="5:7" ht="12">
      <c r="E85" s="12"/>
      <c r="F85" s="10" t="s">
        <v>99</v>
      </c>
      <c r="G85" s="49">
        <f>G64</f>
        <v>0.008208116438665761</v>
      </c>
    </row>
    <row r="86" spans="5:7" ht="12">
      <c r="E86" s="12"/>
      <c r="F86" s="10" t="s">
        <v>100</v>
      </c>
      <c r="G86" s="49">
        <f>G65</f>
        <v>0.005472077625777174</v>
      </c>
    </row>
    <row r="87" spans="5:7" ht="12">
      <c r="E87" s="12"/>
      <c r="F87" s="10" t="s">
        <v>101</v>
      </c>
      <c r="G87" s="49">
        <f>G66</f>
        <v>0.005472077625777174</v>
      </c>
    </row>
    <row r="88" spans="1:7" ht="12">
      <c r="A88" s="16" t="s">
        <v>8</v>
      </c>
      <c r="B88" s="16" t="s">
        <v>94</v>
      </c>
      <c r="E88" s="12"/>
      <c r="F88" s="41"/>
      <c r="G88" s="12"/>
    </row>
    <row r="89" spans="1:8" ht="12">
      <c r="A89" s="10" t="s">
        <v>9</v>
      </c>
      <c r="B89" s="3">
        <v>75</v>
      </c>
      <c r="C89" s="21" t="s">
        <v>108</v>
      </c>
      <c r="D89" s="59">
        <f>B89/1000</f>
        <v>0.075</v>
      </c>
      <c r="E89" s="48"/>
      <c r="F89" s="10" t="s">
        <v>98</v>
      </c>
      <c r="G89" s="10">
        <f>B93*PI()*D89^2*D91-B93*PI()*D90^2*D91</f>
        <v>2.9270297293312444</v>
      </c>
      <c r="H89" s="10" t="s">
        <v>65</v>
      </c>
    </row>
    <row r="90" spans="1:8" ht="12">
      <c r="A90" t="s">
        <v>10</v>
      </c>
      <c r="B90" s="3">
        <v>32</v>
      </c>
      <c r="C90" s="21" t="s">
        <v>108</v>
      </c>
      <c r="D90" s="59">
        <f>B90/1000</f>
        <v>0.032</v>
      </c>
      <c r="E90" s="10"/>
      <c r="F90" s="10" t="s">
        <v>99</v>
      </c>
      <c r="G90" s="10">
        <f>B94*D89^2/2-B95*D90^2/2</f>
        <v>0.00973091033516172</v>
      </c>
      <c r="H90" s="10"/>
    </row>
    <row r="91" spans="1:8" ht="12">
      <c r="A91" s="10" t="s">
        <v>50</v>
      </c>
      <c r="B91" s="3">
        <v>75</v>
      </c>
      <c r="C91" s="21" t="s">
        <v>108</v>
      </c>
      <c r="D91" s="59">
        <f>B91/1000</f>
        <v>0.075</v>
      </c>
      <c r="E91" s="10"/>
      <c r="F91" s="10" t="s">
        <v>100</v>
      </c>
      <c r="G91" s="10">
        <f>B94*(D89^2/4+D91^2/12)-B95*(D90^2/4+D91^2/12)</f>
        <v>0.006237500353204881</v>
      </c>
      <c r="H91" s="10"/>
    </row>
    <row r="92" spans="1:7" ht="12">
      <c r="A92" t="s">
        <v>105</v>
      </c>
      <c r="B92" s="3">
        <v>50</v>
      </c>
      <c r="C92" s="21" t="s">
        <v>108</v>
      </c>
      <c r="D92" s="59">
        <f>B92/1000</f>
        <v>0.05</v>
      </c>
      <c r="E92" s="10"/>
      <c r="F92" s="10" t="s">
        <v>101</v>
      </c>
      <c r="G92" s="10">
        <f>G91</f>
        <v>0.006237500353204881</v>
      </c>
    </row>
    <row r="93" spans="1:10" ht="12">
      <c r="A93" s="10" t="s">
        <v>95</v>
      </c>
      <c r="B93" s="21">
        <v>2700</v>
      </c>
      <c r="C93" s="10"/>
      <c r="D93" s="10"/>
      <c r="E93" s="10"/>
      <c r="I93" s="10"/>
      <c r="J93" s="10"/>
    </row>
    <row r="94" spans="1:10" ht="12.75" thickBot="1">
      <c r="A94" t="s">
        <v>11</v>
      </c>
      <c r="B94" s="10">
        <f>B93*PI()*D89^2*D91</f>
        <v>3.5784703819796237</v>
      </c>
      <c r="C94" s="10" t="s">
        <v>65</v>
      </c>
      <c r="D94" s="10"/>
      <c r="E94" s="10"/>
      <c r="F94" s="12"/>
      <c r="G94" s="43"/>
      <c r="H94" s="12"/>
      <c r="I94" s="10">
        <v>2.92</v>
      </c>
      <c r="J94" s="10"/>
    </row>
    <row r="95" spans="1:10" ht="12">
      <c r="A95" t="s">
        <v>12</v>
      </c>
      <c r="B95" s="10">
        <f>B93*PI()*D90^2*D91</f>
        <v>0.6514406526483795</v>
      </c>
      <c r="C95" t="s">
        <v>65</v>
      </c>
      <c r="E95" s="25" t="s">
        <v>112</v>
      </c>
      <c r="F95" s="45">
        <f>1000*(D89-B98)</f>
        <v>4.289321881345246</v>
      </c>
      <c r="G95" s="29" t="s">
        <v>108</v>
      </c>
      <c r="I95" s="10">
        <v>2.92</v>
      </c>
      <c r="J95" s="10"/>
    </row>
    <row r="96" spans="1:10" ht="12.75" thickBot="1">
      <c r="A96" s="4" t="s">
        <v>18</v>
      </c>
      <c r="E96" s="46" t="s">
        <v>23</v>
      </c>
      <c r="F96" s="47">
        <f>((2*B99*PI()*D89^2)/360-(B98*B97))*B93*1000*D91</f>
        <v>29.122671699396108</v>
      </c>
      <c r="G96" s="33" t="s">
        <v>110</v>
      </c>
      <c r="I96" s="10">
        <f>I95+I94</f>
        <v>5.84</v>
      </c>
      <c r="J96" s="10"/>
    </row>
    <row r="97" spans="1:10" ht="12">
      <c r="A97" t="s">
        <v>6</v>
      </c>
      <c r="B97">
        <f>D92/2</f>
        <v>0.025</v>
      </c>
      <c r="C97" t="s">
        <v>61</v>
      </c>
      <c r="I97" s="10"/>
      <c r="J97" s="10"/>
    </row>
    <row r="98" spans="1:10" ht="12">
      <c r="A98" t="s">
        <v>107</v>
      </c>
      <c r="B98" s="51">
        <f>(D89^2-B97^2)^0.5</f>
        <v>0.07071067811865475</v>
      </c>
      <c r="C98" t="s">
        <v>61</v>
      </c>
      <c r="D98" t="s">
        <v>99</v>
      </c>
      <c r="E98" s="57">
        <f>(B101/1000)*(D91^2+D92^2)/12</f>
        <v>1.9880859375E-05</v>
      </c>
      <c r="I98" s="10"/>
      <c r="J98" s="10"/>
    </row>
    <row r="99" spans="1:10" ht="12">
      <c r="A99" t="s">
        <v>109</v>
      </c>
      <c r="B99" s="52">
        <f>ASIN(B97/D89)*180/PI()</f>
        <v>19.471220634490695</v>
      </c>
      <c r="D99" t="s">
        <v>100</v>
      </c>
      <c r="E99" s="57">
        <f>(1/12*(B101/1000)*(B100^2+D92^2))+((B101/1000)*B102^2)</f>
        <v>0.000164977219125</v>
      </c>
      <c r="I99" s="10"/>
      <c r="J99" s="10"/>
    </row>
    <row r="100" spans="1:10" ht="12">
      <c r="A100" s="3" t="s">
        <v>113</v>
      </c>
      <c r="B100" s="3">
        <v>0.0029</v>
      </c>
      <c r="D100" t="s">
        <v>101</v>
      </c>
      <c r="E100" s="57">
        <f>(1/12*(B101/1000)*(B100^2+D91^2))+((B101/1000)*B102^2)</f>
        <v>0.0001726237035</v>
      </c>
      <c r="F100" s="61" t="s">
        <v>21</v>
      </c>
      <c r="G100" s="62" t="s">
        <v>22</v>
      </c>
      <c r="H100" s="12"/>
      <c r="I100" s="10"/>
      <c r="J100" s="10"/>
    </row>
    <row r="101" spans="1:10" ht="12.75" thickBot="1">
      <c r="A101" s="60" t="s">
        <v>111</v>
      </c>
      <c r="B101" s="60">
        <f>D91*B93*D92*B100*1000</f>
        <v>29.3625</v>
      </c>
      <c r="C101" t="s">
        <v>110</v>
      </c>
      <c r="G101" s="60" t="s">
        <v>23</v>
      </c>
      <c r="I101" s="10"/>
      <c r="J101" s="10"/>
    </row>
    <row r="102" spans="1:10" ht="12">
      <c r="A102" t="s">
        <v>115</v>
      </c>
      <c r="B102">
        <f>D89-B100/2</f>
        <v>0.07355</v>
      </c>
      <c r="C102" t="s">
        <v>61</v>
      </c>
      <c r="E102" s="25" t="s">
        <v>98</v>
      </c>
      <c r="F102" s="66">
        <f>G89-2*(F96/1000)</f>
        <v>2.868784385932452</v>
      </c>
      <c r="G102" s="29" t="s">
        <v>65</v>
      </c>
      <c r="H102" s="53"/>
      <c r="I102" s="10"/>
      <c r="J102" s="10"/>
    </row>
    <row r="103" spans="5:10" ht="12">
      <c r="E103" s="35" t="s">
        <v>99</v>
      </c>
      <c r="F103" s="42">
        <f>G90-2*E98</f>
        <v>0.00969114861641172</v>
      </c>
      <c r="G103" s="28"/>
      <c r="I103" s="10"/>
      <c r="J103" s="10"/>
    </row>
    <row r="104" spans="1:10" ht="12">
      <c r="A104" s="4" t="s">
        <v>19</v>
      </c>
      <c r="E104" s="35" t="s">
        <v>100</v>
      </c>
      <c r="F104" s="41">
        <f>G91-2*E99</f>
        <v>0.005907545914954881</v>
      </c>
      <c r="G104" s="11"/>
      <c r="I104" s="10"/>
      <c r="J104" s="10"/>
    </row>
    <row r="105" spans="5:10" ht="12.75" thickBot="1">
      <c r="E105" s="46" t="s">
        <v>101</v>
      </c>
      <c r="F105" s="56">
        <f>G92-2*E100</f>
        <v>0.005892252946204881</v>
      </c>
      <c r="G105" s="33"/>
      <c r="I105" s="10"/>
      <c r="J105" s="10"/>
    </row>
    <row r="106" spans="9:10" ht="12">
      <c r="I106" s="10"/>
      <c r="J106" s="10"/>
    </row>
    <row r="107" spans="9:10" ht="12">
      <c r="I107" s="10"/>
      <c r="J107" s="10"/>
    </row>
    <row r="108" spans="9:10" ht="12">
      <c r="I108" s="10"/>
      <c r="J108" s="10"/>
    </row>
    <row r="109" spans="9:10" ht="12">
      <c r="I109" s="10"/>
      <c r="J109" s="10"/>
    </row>
    <row r="110" spans="9:10" ht="12">
      <c r="I110" s="10"/>
      <c r="J110" s="10"/>
    </row>
    <row r="113" spans="1:8" ht="12">
      <c r="A113" s="10"/>
      <c r="B113" s="10"/>
      <c r="D113" s="10"/>
      <c r="H113" s="12"/>
    </row>
    <row r="114" spans="1:2" ht="12">
      <c r="A114" s="10"/>
      <c r="B114" s="10"/>
    </row>
    <row r="115" spans="1:2" ht="12">
      <c r="A115" s="10"/>
      <c r="B115" s="10"/>
    </row>
    <row r="116" spans="1:2" ht="12">
      <c r="A116" s="10"/>
      <c r="B116" s="10"/>
    </row>
    <row r="117" spans="1:2" ht="12">
      <c r="A117" s="10"/>
      <c r="B117" s="10"/>
    </row>
    <row r="118" spans="1:2" ht="12">
      <c r="A118" s="10"/>
      <c r="B118" s="10"/>
    </row>
    <row r="119" spans="1:8" ht="12">
      <c r="A119" s="10"/>
      <c r="B119" s="10"/>
      <c r="F119" s="12"/>
      <c r="G119" s="41"/>
      <c r="H119" s="12"/>
    </row>
    <row r="120" ht="12">
      <c r="A120" t="s">
        <v>103</v>
      </c>
    </row>
    <row r="121" ht="12.75" thickBot="1"/>
    <row r="122" spans="1:8" ht="12">
      <c r="A122" s="19" t="s">
        <v>69</v>
      </c>
      <c r="B122" s="7"/>
      <c r="C122" s="7"/>
      <c r="D122" s="7"/>
      <c r="E122" s="7"/>
      <c r="F122" s="7"/>
      <c r="G122" s="7"/>
      <c r="H122" s="8"/>
    </row>
    <row r="123" spans="1:8" ht="12">
      <c r="A123" s="9"/>
      <c r="B123" s="10"/>
      <c r="C123" s="10"/>
      <c r="D123" s="10"/>
      <c r="E123" s="10"/>
      <c r="F123" s="10"/>
      <c r="G123" s="10"/>
      <c r="H123" s="11"/>
    </row>
    <row r="124" spans="1:8" ht="12">
      <c r="A124" s="9" t="s">
        <v>80</v>
      </c>
      <c r="B124">
        <v>0</v>
      </c>
      <c r="C124" s="21"/>
      <c r="D124" s="10"/>
      <c r="E124" s="10"/>
      <c r="F124" s="10"/>
      <c r="G124" s="10"/>
      <c r="H124" s="11"/>
    </row>
    <row r="125" spans="1:8" ht="12">
      <c r="A125" s="9" t="s">
        <v>81</v>
      </c>
      <c r="B125" s="3">
        <f>0.124/2</f>
        <v>0.062</v>
      </c>
      <c r="C125" s="21"/>
      <c r="D125" s="10"/>
      <c r="E125" s="10"/>
      <c r="F125" s="10"/>
      <c r="G125" s="10"/>
      <c r="H125" s="11"/>
    </row>
    <row r="126" spans="1:8" ht="12">
      <c r="A126" s="9" t="s">
        <v>82</v>
      </c>
      <c r="B126" s="3">
        <v>0</v>
      </c>
      <c r="C126" s="21"/>
      <c r="D126" s="10"/>
      <c r="E126" s="10"/>
      <c r="F126" s="10"/>
      <c r="G126" s="10"/>
      <c r="H126" s="11"/>
    </row>
    <row r="127" spans="1:8" ht="12">
      <c r="A127" s="9" t="s">
        <v>70</v>
      </c>
      <c r="B127" s="10">
        <f>B126+B125+B124</f>
        <v>0.062</v>
      </c>
      <c r="C127" s="10" t="s">
        <v>65</v>
      </c>
      <c r="E127" s="10"/>
      <c r="F127" s="16" t="s">
        <v>75</v>
      </c>
      <c r="G127" s="10"/>
      <c r="H127" s="11"/>
    </row>
    <row r="128" spans="1:8" ht="12">
      <c r="A128" s="9" t="s">
        <v>71</v>
      </c>
      <c r="B128" s="21">
        <v>2</v>
      </c>
      <c r="C128" s="21"/>
      <c r="D128" s="10"/>
      <c r="E128" s="10"/>
      <c r="F128" s="10"/>
      <c r="G128" s="10"/>
      <c r="H128" s="11"/>
    </row>
    <row r="129" spans="1:8" ht="12">
      <c r="A129" s="9" t="s">
        <v>72</v>
      </c>
      <c r="B129" s="10">
        <v>9.81</v>
      </c>
      <c r="C129" s="10"/>
      <c r="D129" s="10"/>
      <c r="E129" s="10"/>
      <c r="F129" s="10" t="s">
        <v>73</v>
      </c>
      <c r="G129" s="10">
        <f>(B127*B129*3/B128/PI()/B131)^0.5</f>
        <v>1.2049972167230465E-05</v>
      </c>
      <c r="H129" s="11"/>
    </row>
    <row r="130" spans="1:8" ht="12">
      <c r="A130" s="9" t="s">
        <v>74</v>
      </c>
      <c r="B130" s="22"/>
      <c r="C130" s="22"/>
      <c r="D130" s="10"/>
      <c r="E130" s="10"/>
      <c r="F130" s="10"/>
      <c r="G130" s="10">
        <f>G129*1000000</f>
        <v>12.049972167230464</v>
      </c>
      <c r="H130" s="11"/>
    </row>
    <row r="131" spans="1:8" ht="12.75" thickBot="1">
      <c r="A131" s="23" t="s">
        <v>92</v>
      </c>
      <c r="B131" s="22">
        <v>2000000000</v>
      </c>
      <c r="C131" s="22"/>
      <c r="D131" s="14"/>
      <c r="E131" s="14"/>
      <c r="F131" s="14"/>
      <c r="G131" s="14"/>
      <c r="H131" s="15"/>
    </row>
    <row r="132" spans="1:8" ht="12">
      <c r="A132" s="9"/>
      <c r="B132" s="10"/>
      <c r="C132" s="10"/>
      <c r="D132" s="10"/>
      <c r="E132" s="10"/>
      <c r="F132" s="10"/>
      <c r="G132" s="10"/>
      <c r="H132" s="11"/>
    </row>
    <row r="133" spans="1:8" ht="12">
      <c r="A133" s="9" t="s">
        <v>76</v>
      </c>
      <c r="B133" s="10"/>
      <c r="C133" s="10"/>
      <c r="D133" s="10">
        <v>127</v>
      </c>
      <c r="E133" s="10"/>
      <c r="F133" s="10">
        <f>D133/1000000</f>
        <v>0.000127</v>
      </c>
      <c r="G133" s="17"/>
      <c r="H133" s="11"/>
    </row>
    <row r="134" spans="1:8" ht="12">
      <c r="A134" s="9"/>
      <c r="B134" s="10"/>
      <c r="C134" s="10"/>
      <c r="D134" s="10"/>
      <c r="E134" s="10"/>
      <c r="F134" s="10"/>
      <c r="G134" s="10"/>
      <c r="H134" s="20"/>
    </row>
    <row r="135" spans="1:8" ht="12">
      <c r="A135" s="9" t="s">
        <v>77</v>
      </c>
      <c r="B135" s="10"/>
      <c r="C135" s="10"/>
      <c r="D135" s="10">
        <f>B127*B129/B128/PI()/(F133)^2</f>
        <v>6001687.611591084</v>
      </c>
      <c r="E135" s="10"/>
      <c r="F135" s="10"/>
      <c r="G135" s="10"/>
      <c r="H135" s="11"/>
    </row>
    <row r="136" spans="1:8" ht="12">
      <c r="A136" s="9"/>
      <c r="B136" s="10"/>
      <c r="C136" s="10"/>
      <c r="D136" s="10"/>
      <c r="E136" s="10"/>
      <c r="F136" s="10"/>
      <c r="G136" s="10"/>
      <c r="H136" s="11"/>
    </row>
    <row r="137" spans="1:8" ht="12.75" thickBot="1">
      <c r="A137" s="13" t="s">
        <v>79</v>
      </c>
      <c r="B137" s="14"/>
      <c r="C137" s="14"/>
      <c r="D137" s="63">
        <f>(D135/B131)*100</f>
        <v>0.30008438057955417</v>
      </c>
      <c r="E137" s="14" t="s">
        <v>24</v>
      </c>
      <c r="F137" s="14"/>
      <c r="G137" s="14"/>
      <c r="H137" s="15"/>
    </row>
    <row r="138" spans="1:8" ht="12">
      <c r="A138" s="10"/>
      <c r="B138" s="10"/>
      <c r="C138" s="10"/>
      <c r="D138" s="17"/>
      <c r="E138" s="10"/>
      <c r="F138" s="10"/>
      <c r="G138" s="10"/>
      <c r="H138" s="10"/>
    </row>
    <row r="139" ht="12.75" thickBot="1"/>
    <row r="140" spans="1:8" ht="12">
      <c r="A140" t="s">
        <v>87</v>
      </c>
      <c r="B140" t="s">
        <v>93</v>
      </c>
      <c r="D140" t="s">
        <v>104</v>
      </c>
      <c r="F140" s="1"/>
      <c r="G140" s="6" t="s">
        <v>35</v>
      </c>
      <c r="H140" s="8"/>
    </row>
    <row r="141" spans="1:8" ht="12">
      <c r="A141" t="s">
        <v>88</v>
      </c>
      <c r="B141">
        <v>6</v>
      </c>
      <c r="D141">
        <f>B141*0.0254/2*1000</f>
        <v>76.19999999999999</v>
      </c>
      <c r="E141" t="s">
        <v>90</v>
      </c>
      <c r="G141" s="9"/>
      <c r="H141" s="11"/>
    </row>
    <row r="142" spans="1:8" ht="12">
      <c r="A142" t="s">
        <v>89</v>
      </c>
      <c r="B142">
        <v>8</v>
      </c>
      <c r="D142">
        <f aca="true" t="shared" si="4" ref="D142:D150">B142*0.0254/2*1000</f>
        <v>101.6</v>
      </c>
      <c r="E142" t="s">
        <v>90</v>
      </c>
      <c r="G142" s="9" t="s">
        <v>33</v>
      </c>
      <c r="H142" s="11">
        <v>25</v>
      </c>
    </row>
    <row r="143" spans="1:8" ht="12.75" thickBot="1">
      <c r="A143" t="s">
        <v>91</v>
      </c>
      <c r="B143">
        <v>10</v>
      </c>
      <c r="D143">
        <f t="shared" si="4"/>
        <v>127</v>
      </c>
      <c r="G143" s="13" t="s">
        <v>34</v>
      </c>
      <c r="H143" s="15">
        <f>H142*9.81/(PI()*(F133)^2)</f>
        <v>4840070654.508939</v>
      </c>
    </row>
    <row r="144" spans="2:4" ht="12">
      <c r="B144">
        <v>12</v>
      </c>
      <c r="D144">
        <f t="shared" si="4"/>
        <v>152.39999999999998</v>
      </c>
    </row>
    <row r="145" spans="2:4" ht="12">
      <c r="B145">
        <v>14</v>
      </c>
      <c r="D145">
        <f t="shared" si="4"/>
        <v>177.79999999999998</v>
      </c>
    </row>
    <row r="146" spans="2:4" ht="12">
      <c r="B146">
        <v>16</v>
      </c>
      <c r="D146">
        <f t="shared" si="4"/>
        <v>203.2</v>
      </c>
    </row>
    <row r="147" spans="2:4" ht="12">
      <c r="B147">
        <v>18</v>
      </c>
      <c r="D147">
        <f t="shared" si="4"/>
        <v>228.6</v>
      </c>
    </row>
    <row r="148" spans="2:4" ht="12">
      <c r="B148">
        <v>20</v>
      </c>
      <c r="D148">
        <f t="shared" si="4"/>
        <v>254</v>
      </c>
    </row>
    <row r="149" spans="2:4" ht="12">
      <c r="B149">
        <v>22</v>
      </c>
      <c r="D149">
        <f t="shared" si="4"/>
        <v>279.4</v>
      </c>
    </row>
    <row r="150" spans="2:4" ht="12">
      <c r="B150">
        <v>24</v>
      </c>
      <c r="D150">
        <f t="shared" si="4"/>
        <v>304.79999999999995</v>
      </c>
    </row>
  </sheetData>
  <printOptions/>
  <pageMargins left="0.25" right="0.2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zoomScale="125" zoomScaleNormal="125" workbookViewId="0" topLeftCell="A12">
      <selection activeCell="M49" sqref="M49"/>
    </sheetView>
  </sheetViews>
  <sheetFormatPr defaultColWidth="8.8515625" defaultRowHeight="12.75"/>
  <cols>
    <col min="1" max="1" width="17.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9" width="8.8515625" style="0" customWidth="1"/>
    <col min="10" max="10" width="11.421875" style="0" customWidth="1"/>
    <col min="11" max="11" width="10.28125" style="0" customWidth="1"/>
    <col min="12" max="12" width="11.28125" style="0" customWidth="1"/>
    <col min="13" max="17" width="8.8515625" style="0" customWidth="1"/>
    <col min="18" max="18" width="11.00390625" style="0" bestFit="1" customWidth="1"/>
    <col min="19" max="19" width="8.8515625" style="0" customWidth="1"/>
    <col min="20" max="20" width="15.140625" style="0" customWidth="1"/>
  </cols>
  <sheetData>
    <row r="1" spans="1:8" ht="12.75" thickBot="1">
      <c r="A1" t="s">
        <v>7</v>
      </c>
      <c r="H1" s="36"/>
    </row>
    <row r="2" spans="1:8" ht="12">
      <c r="A2" t="s">
        <v>43</v>
      </c>
      <c r="G2" s="37" t="s">
        <v>3</v>
      </c>
      <c r="H2" s="38"/>
    </row>
    <row r="3" spans="1:11" ht="12.75" thickBot="1">
      <c r="A3" t="s">
        <v>44</v>
      </c>
      <c r="G3" s="39" t="s">
        <v>4</v>
      </c>
      <c r="H3" s="40"/>
      <c r="K3" t="s">
        <v>28</v>
      </c>
    </row>
    <row r="4" spans="1:17" ht="12">
      <c r="A4" s="4" t="s">
        <v>116</v>
      </c>
      <c r="Q4" s="4"/>
    </row>
    <row r="5" spans="1:17" ht="12">
      <c r="A5" s="4" t="s">
        <v>117</v>
      </c>
      <c r="K5" t="s">
        <v>29</v>
      </c>
      <c r="Q5" s="4"/>
    </row>
    <row r="6" spans="1:17" ht="12">
      <c r="A6" s="26" t="s">
        <v>118</v>
      </c>
      <c r="Q6" s="4"/>
    </row>
    <row r="7" spans="1:17" ht="12">
      <c r="A7" s="18" t="s">
        <v>0</v>
      </c>
      <c r="G7" s="18"/>
      <c r="K7" t="s">
        <v>25</v>
      </c>
      <c r="L7">
        <f>B13*10</f>
        <v>50</v>
      </c>
      <c r="M7" t="s">
        <v>108</v>
      </c>
      <c r="Q7" s="4"/>
    </row>
    <row r="8" spans="1:14" ht="21">
      <c r="A8" s="72" t="s">
        <v>47</v>
      </c>
      <c r="G8" s="72" t="s">
        <v>44</v>
      </c>
      <c r="H8" s="24"/>
      <c r="K8" t="s">
        <v>30</v>
      </c>
      <c r="L8" s="67">
        <v>7</v>
      </c>
      <c r="M8" t="s">
        <v>108</v>
      </c>
      <c r="N8" s="3"/>
    </row>
    <row r="9" spans="4:13" ht="12">
      <c r="D9" s="2"/>
      <c r="L9" s="3"/>
      <c r="M9" s="68" t="s">
        <v>32</v>
      </c>
    </row>
    <row r="10" spans="1:13" ht="12">
      <c r="A10" t="s">
        <v>45</v>
      </c>
      <c r="J10" t="s">
        <v>26</v>
      </c>
      <c r="K10" t="s">
        <v>108</v>
      </c>
      <c r="L10" t="s">
        <v>31</v>
      </c>
      <c r="M10" t="s">
        <v>108</v>
      </c>
    </row>
    <row r="11" spans="10:13" ht="12">
      <c r="J11">
        <v>1200</v>
      </c>
      <c r="M11">
        <f aca="true" t="shared" si="0" ref="M11:M31">J11*(1-COS($L$7/J11))</f>
        <v>1.0415159712982458</v>
      </c>
    </row>
    <row r="12" spans="1:18" ht="12">
      <c r="A12" t="s">
        <v>50</v>
      </c>
      <c r="B12" s="3">
        <v>0.254</v>
      </c>
      <c r="C12" s="3" t="s">
        <v>108</v>
      </c>
      <c r="D12">
        <f>B12/1000</f>
        <v>0.000254</v>
      </c>
      <c r="E12" t="s">
        <v>61</v>
      </c>
      <c r="F12" t="s">
        <v>64</v>
      </c>
      <c r="G12" s="76">
        <f>(B18+B19+B20)/B21</f>
        <v>0.072</v>
      </c>
      <c r="H12" s="76" t="s">
        <v>65</v>
      </c>
      <c r="J12">
        <f aca="true" t="shared" si="1" ref="J12:J31">J11+2</f>
        <v>1202</v>
      </c>
      <c r="L12" s="3"/>
      <c r="M12">
        <f t="shared" si="0"/>
        <v>1.0397834998344693</v>
      </c>
      <c r="R12" s="1"/>
    </row>
    <row r="13" spans="1:13" ht="12">
      <c r="A13" t="s">
        <v>51</v>
      </c>
      <c r="B13" s="3">
        <v>5</v>
      </c>
      <c r="C13" s="3" t="s">
        <v>57</v>
      </c>
      <c r="D13">
        <f>B13/100</f>
        <v>0.05</v>
      </c>
      <c r="E13" t="s">
        <v>61</v>
      </c>
      <c r="F13" t="s">
        <v>59</v>
      </c>
      <c r="G13" s="76">
        <f>B18/B21</f>
        <v>0.072</v>
      </c>
      <c r="H13" s="76" t="s">
        <v>65</v>
      </c>
      <c r="J13">
        <f t="shared" si="1"/>
        <v>1204</v>
      </c>
      <c r="L13" s="3"/>
      <c r="M13">
        <f t="shared" si="0"/>
        <v>1.0380567816036081</v>
      </c>
    </row>
    <row r="14" spans="1:13" ht="12">
      <c r="A14" t="s">
        <v>52</v>
      </c>
      <c r="B14" s="3">
        <v>2.6</v>
      </c>
      <c r="C14" s="3" t="s">
        <v>57</v>
      </c>
      <c r="D14">
        <f>B14/100</f>
        <v>0.026000000000000002</v>
      </c>
      <c r="E14" t="s">
        <v>61</v>
      </c>
      <c r="F14" t="s">
        <v>54</v>
      </c>
      <c r="G14" s="53">
        <f>G12*9.81</f>
        <v>0.70632</v>
      </c>
      <c r="J14">
        <f t="shared" si="1"/>
        <v>1206</v>
      </c>
      <c r="L14" s="76"/>
      <c r="M14">
        <f t="shared" si="0"/>
        <v>1.0363357879989248</v>
      </c>
    </row>
    <row r="15" spans="2:13" ht="12">
      <c r="B15" s="3"/>
      <c r="C15" s="3"/>
      <c r="F15" t="s">
        <v>56</v>
      </c>
      <c r="G15" s="54">
        <f>D14*D12^3/12</f>
        <v>3.550530533333333E-14</v>
      </c>
      <c r="J15">
        <f t="shared" si="1"/>
        <v>1208</v>
      </c>
      <c r="L15" s="76"/>
      <c r="M15">
        <f t="shared" si="0"/>
        <v>1.0346204906031984</v>
      </c>
    </row>
    <row r="16" spans="1:13" ht="12">
      <c r="A16" t="s">
        <v>80</v>
      </c>
      <c r="B16" s="3">
        <v>0.124</v>
      </c>
      <c r="C16" s="3" t="s">
        <v>65</v>
      </c>
      <c r="J16">
        <f t="shared" si="1"/>
        <v>1210</v>
      </c>
      <c r="L16" s="76"/>
      <c r="M16">
        <f t="shared" si="0"/>
        <v>1.0329108611869253</v>
      </c>
    </row>
    <row r="17" spans="1:13" ht="12.75" thickBot="1">
      <c r="A17" t="s">
        <v>84</v>
      </c>
      <c r="B17" s="3">
        <v>0.02</v>
      </c>
      <c r="C17" s="3" t="s">
        <v>65</v>
      </c>
      <c r="J17">
        <f t="shared" si="1"/>
        <v>1212</v>
      </c>
      <c r="M17">
        <f t="shared" si="0"/>
        <v>1.0312068717068272</v>
      </c>
    </row>
    <row r="18" spans="1:15" ht="12">
      <c r="A18" t="s">
        <v>85</v>
      </c>
      <c r="B18">
        <f>B17+B16</f>
        <v>0.144</v>
      </c>
      <c r="C18" t="s">
        <v>65</v>
      </c>
      <c r="F18" s="25" t="s">
        <v>63</v>
      </c>
      <c r="G18" s="75">
        <f>B24*G14*(D13^3)/(3*B23*G15)*100</f>
        <v>0.9491109276789046</v>
      </c>
      <c r="H18" s="29" t="s">
        <v>57</v>
      </c>
      <c r="I18" s="2"/>
      <c r="J18">
        <f t="shared" si="1"/>
        <v>1214</v>
      </c>
      <c r="M18">
        <f t="shared" si="0"/>
        <v>1.0295084943039976</v>
      </c>
      <c r="O18" s="2"/>
    </row>
    <row r="19" spans="1:13" ht="12">
      <c r="A19" t="s">
        <v>81</v>
      </c>
      <c r="B19" s="3">
        <v>0</v>
      </c>
      <c r="C19" s="3" t="s">
        <v>65</v>
      </c>
      <c r="F19" s="35"/>
      <c r="G19" s="10"/>
      <c r="H19" s="20"/>
      <c r="J19">
        <f t="shared" si="1"/>
        <v>1216</v>
      </c>
      <c r="M19">
        <f t="shared" si="0"/>
        <v>1.0278157013031688</v>
      </c>
    </row>
    <row r="20" spans="1:13" ht="12">
      <c r="A20" t="s">
        <v>82</v>
      </c>
      <c r="B20" s="3">
        <v>0</v>
      </c>
      <c r="C20" s="3" t="s">
        <v>65</v>
      </c>
      <c r="F20" s="35" t="s">
        <v>58</v>
      </c>
      <c r="G20" s="69">
        <f>1/(2*PI())*((B23*D14*D12^3)/(4*G13*D13^3*B24))^0.5</f>
        <v>5.11677297726815</v>
      </c>
      <c r="H20" s="28" t="s">
        <v>60</v>
      </c>
      <c r="J20">
        <f t="shared" si="1"/>
        <v>1218</v>
      </c>
      <c r="M20">
        <f t="shared" si="0"/>
        <v>1.0261284652102738</v>
      </c>
    </row>
    <row r="21" spans="1:18" ht="12">
      <c r="A21" t="s">
        <v>83</v>
      </c>
      <c r="B21" s="3">
        <v>2</v>
      </c>
      <c r="C21" s="3"/>
      <c r="F21" s="35"/>
      <c r="G21" s="10"/>
      <c r="H21" s="28"/>
      <c r="J21">
        <f t="shared" si="1"/>
        <v>1220</v>
      </c>
      <c r="M21">
        <f t="shared" si="0"/>
        <v>1.0244467587118056</v>
      </c>
      <c r="P21" s="2"/>
      <c r="Q21" s="2"/>
      <c r="R21" s="2"/>
    </row>
    <row r="22" spans="6:16" ht="12">
      <c r="F22" s="35" t="s">
        <v>66</v>
      </c>
      <c r="G22" s="44">
        <f>(6*G14*D13)/(D14*D12^2)/1000000</f>
        <v>126.32286803035144</v>
      </c>
      <c r="H22" s="28" t="s">
        <v>62</v>
      </c>
      <c r="J22">
        <f t="shared" si="1"/>
        <v>1222</v>
      </c>
      <c r="K22" s="71"/>
      <c r="L22" s="71"/>
      <c r="M22" s="71">
        <f t="shared" si="0"/>
        <v>1.0227705546726042</v>
      </c>
      <c r="O22" s="10"/>
      <c r="P22" s="71"/>
    </row>
    <row r="23" spans="1:16" ht="12">
      <c r="A23" t="s">
        <v>55</v>
      </c>
      <c r="B23" s="1">
        <v>131000000000</v>
      </c>
      <c r="C23" s="3" t="s">
        <v>49</v>
      </c>
      <c r="F23" s="9"/>
      <c r="G23" s="10" t="str">
        <f>IF(G22&gt;G24,"**BAD!**","Good")</f>
        <v>Good</v>
      </c>
      <c r="H23" s="30"/>
      <c r="I23" s="4"/>
      <c r="J23">
        <f t="shared" si="1"/>
        <v>1224</v>
      </c>
      <c r="K23" s="70"/>
      <c r="L23" s="70"/>
      <c r="M23" s="70">
        <f t="shared" si="0"/>
        <v>1.0210998261347726</v>
      </c>
      <c r="O23" s="10"/>
      <c r="P23" s="71"/>
    </row>
    <row r="24" spans="1:15" ht="12.75" thickBot="1">
      <c r="A24" t="s">
        <v>53</v>
      </c>
      <c r="B24" s="3">
        <v>1.5</v>
      </c>
      <c r="C24" s="4" t="s">
        <v>36</v>
      </c>
      <c r="F24" s="31" t="s">
        <v>86</v>
      </c>
      <c r="G24" s="32">
        <v>400</v>
      </c>
      <c r="H24" s="15" t="s">
        <v>49</v>
      </c>
      <c r="J24">
        <f t="shared" si="1"/>
        <v>1226</v>
      </c>
      <c r="M24">
        <f t="shared" si="0"/>
        <v>1.019434546316645</v>
      </c>
      <c r="O24" s="10"/>
    </row>
    <row r="25" spans="10:20" ht="12.75" thickBot="1">
      <c r="J25">
        <f t="shared" si="1"/>
        <v>1228</v>
      </c>
      <c r="M25">
        <f t="shared" si="0"/>
        <v>1.017774688610312</v>
      </c>
      <c r="O25" s="10"/>
      <c r="P25" s="10"/>
      <c r="Q25" s="10"/>
      <c r="R25" s="10"/>
      <c r="S25" s="10"/>
      <c r="T25" s="10"/>
    </row>
    <row r="26" spans="1:20" ht="12">
      <c r="A26" t="s">
        <v>38</v>
      </c>
      <c r="B26">
        <f>(B13*10/J52)*180/PI()</f>
        <v>22.036838274262436</v>
      </c>
      <c r="D26" s="25" t="s">
        <v>1</v>
      </c>
      <c r="E26" s="7"/>
      <c r="F26" s="7"/>
      <c r="G26" s="7"/>
      <c r="H26" s="8"/>
      <c r="J26">
        <f t="shared" si="1"/>
        <v>1230</v>
      </c>
      <c r="M26">
        <f t="shared" si="0"/>
        <v>1.0161202265809621</v>
      </c>
      <c r="O26" s="10"/>
      <c r="P26" s="10"/>
      <c r="Q26" s="10"/>
      <c r="R26" s="10"/>
      <c r="S26" s="10"/>
      <c r="T26" s="10"/>
    </row>
    <row r="27" spans="1:20" ht="12">
      <c r="A27" t="s">
        <v>39</v>
      </c>
      <c r="B27">
        <f>SQRT(J52^2-(J52-G18*10)^2)+2</f>
        <v>50.760714275543585</v>
      </c>
      <c r="D27" s="9" t="s">
        <v>67</v>
      </c>
      <c r="E27" s="10"/>
      <c r="F27" s="10">
        <v>0.37</v>
      </c>
      <c r="G27" s="10"/>
      <c r="H27" s="11"/>
      <c r="J27">
        <f t="shared" si="1"/>
        <v>1232</v>
      </c>
      <c r="M27">
        <f t="shared" si="0"/>
        <v>1.0144711339657366</v>
      </c>
      <c r="P27" s="10"/>
      <c r="Q27" s="10"/>
      <c r="R27" s="10"/>
      <c r="S27" s="10"/>
      <c r="T27" s="10"/>
    </row>
    <row r="28" spans="1:20" ht="12">
      <c r="A28" t="s">
        <v>41</v>
      </c>
      <c r="B28">
        <f>B13*10+2-B27</f>
        <v>1.2392857244564155</v>
      </c>
      <c r="C28" s="1"/>
      <c r="D28" s="9" t="s">
        <v>50</v>
      </c>
      <c r="E28" s="10"/>
      <c r="F28" s="10">
        <v>0.002</v>
      </c>
      <c r="G28" s="44">
        <f>D12/F28*(F27/D13)^2*F29</f>
        <v>382.49859999999995</v>
      </c>
      <c r="H28" s="28" t="s">
        <v>60</v>
      </c>
      <c r="J28">
        <f t="shared" si="1"/>
        <v>1234</v>
      </c>
      <c r="M28">
        <f t="shared" si="0"/>
        <v>1.0128273846714095</v>
      </c>
      <c r="P28" s="10"/>
      <c r="Q28" s="10"/>
      <c r="R28" s="10"/>
      <c r="S28" s="12"/>
      <c r="T28" s="10"/>
    </row>
    <row r="29" spans="1:20" ht="12.75" thickBot="1">
      <c r="A29">
        <v>0.7</v>
      </c>
      <c r="C29" s="3"/>
      <c r="D29" s="13" t="s">
        <v>68</v>
      </c>
      <c r="E29" s="14"/>
      <c r="F29" s="14">
        <v>55</v>
      </c>
      <c r="G29" s="14"/>
      <c r="H29" s="15"/>
      <c r="J29">
        <f t="shared" si="1"/>
        <v>1236</v>
      </c>
      <c r="M29">
        <f t="shared" si="0"/>
        <v>1.01118895277376</v>
      </c>
      <c r="P29" s="10"/>
      <c r="Q29" s="10"/>
      <c r="R29" s="10"/>
      <c r="S29" s="10"/>
      <c r="T29" s="10"/>
    </row>
    <row r="30" spans="10:13" ht="12">
      <c r="J30">
        <f t="shared" si="1"/>
        <v>1238</v>
      </c>
      <c r="M30">
        <f t="shared" si="0"/>
        <v>1.00955581251591</v>
      </c>
    </row>
    <row r="31" spans="10:13" ht="12">
      <c r="J31">
        <f t="shared" si="1"/>
        <v>1240</v>
      </c>
      <c r="M31">
        <f t="shared" si="0"/>
        <v>1.0079279383069917</v>
      </c>
    </row>
    <row r="33" spans="1:13" ht="12">
      <c r="A33" t="s">
        <v>2</v>
      </c>
      <c r="J33">
        <v>1800</v>
      </c>
      <c r="M33">
        <f aca="true" t="shared" si="2" ref="M33:M50">J33*(1-COS($B$36*10/J33))</f>
        <v>0.28813223812873545</v>
      </c>
    </row>
    <row r="34" spans="10:13" ht="12">
      <c r="J34">
        <f aca="true" t="shared" si="3" ref="J34:J50">J33+2</f>
        <v>1802</v>
      </c>
      <c r="M34">
        <f t="shared" si="2"/>
        <v>0.2878124635569308</v>
      </c>
    </row>
    <row r="35" spans="1:13" ht="12">
      <c r="A35" t="s">
        <v>50</v>
      </c>
      <c r="B35" s="3">
        <v>0.5</v>
      </c>
      <c r="C35" s="3" t="s">
        <v>108</v>
      </c>
      <c r="D35">
        <f>B35/1000</f>
        <v>0.0005</v>
      </c>
      <c r="E35" t="s">
        <v>61</v>
      </c>
      <c r="F35" t="s">
        <v>64</v>
      </c>
      <c r="G35" s="77">
        <f>B39/B41+B40</f>
        <v>0.072</v>
      </c>
      <c r="H35" s="76" t="s">
        <v>65</v>
      </c>
      <c r="I35" s="2"/>
      <c r="J35">
        <f t="shared" si="3"/>
        <v>1804</v>
      </c>
      <c r="M35">
        <f t="shared" si="2"/>
        <v>0.28749339796324946</v>
      </c>
    </row>
    <row r="36" spans="1:13" ht="12">
      <c r="A36" t="s">
        <v>51</v>
      </c>
      <c r="B36" s="3">
        <v>3.22072</v>
      </c>
      <c r="C36" s="3" t="s">
        <v>57</v>
      </c>
      <c r="D36">
        <f>B36/100</f>
        <v>0.0322072</v>
      </c>
      <c r="E36" t="s">
        <v>61</v>
      </c>
      <c r="F36" t="s">
        <v>59</v>
      </c>
      <c r="G36" s="77">
        <f>B39/B41+B40</f>
        <v>0.072</v>
      </c>
      <c r="H36" s="76" t="s">
        <v>65</v>
      </c>
      <c r="J36">
        <f t="shared" si="3"/>
        <v>1806</v>
      </c>
      <c r="M36">
        <f t="shared" si="2"/>
        <v>0.2871750389922809</v>
      </c>
    </row>
    <row r="37" spans="1:13" ht="12">
      <c r="A37" t="s">
        <v>52</v>
      </c>
      <c r="B37" s="3">
        <v>1.27</v>
      </c>
      <c r="C37" s="3" t="s">
        <v>57</v>
      </c>
      <c r="D37">
        <f>B37/100</f>
        <v>0.0127</v>
      </c>
      <c r="E37" t="s">
        <v>61</v>
      </c>
      <c r="F37" t="s">
        <v>54</v>
      </c>
      <c r="G37" s="53">
        <f>G35*9.81</f>
        <v>0.70632</v>
      </c>
      <c r="J37">
        <f t="shared" si="3"/>
        <v>1808</v>
      </c>
      <c r="M37">
        <f t="shared" si="2"/>
        <v>0.2868573842993989</v>
      </c>
    </row>
    <row r="38" spans="2:13" ht="12">
      <c r="B38" s="3"/>
      <c r="C38" s="3"/>
      <c r="F38" t="s">
        <v>56</v>
      </c>
      <c r="G38" s="55">
        <f>D37*D35^3/12</f>
        <v>1.3229166666666668E-13</v>
      </c>
      <c r="J38">
        <f t="shared" si="3"/>
        <v>1810</v>
      </c>
      <c r="K38" s="71"/>
      <c r="L38" s="71"/>
      <c r="M38">
        <f t="shared" si="2"/>
        <v>0.28654043155024844</v>
      </c>
    </row>
    <row r="39" spans="1:13" ht="12.75" thickBot="1">
      <c r="A39" t="s">
        <v>81</v>
      </c>
      <c r="B39" s="3">
        <v>0.124</v>
      </c>
      <c r="C39" s="3" t="s">
        <v>65</v>
      </c>
      <c r="J39">
        <f t="shared" si="3"/>
        <v>1812</v>
      </c>
      <c r="M39">
        <f t="shared" si="2"/>
        <v>0.2862241784206301</v>
      </c>
    </row>
    <row r="40" spans="1:13" ht="12">
      <c r="A40" t="s">
        <v>82</v>
      </c>
      <c r="B40" s="3">
        <v>0.01</v>
      </c>
      <c r="C40" s="3" t="s">
        <v>65</v>
      </c>
      <c r="F40" s="6" t="s">
        <v>63</v>
      </c>
      <c r="G40" s="82">
        <f>B43*G37*(D36^3)/(3*B42*G38)*1000</f>
        <v>0.2831309700678869</v>
      </c>
      <c r="H40" s="29" t="s">
        <v>108</v>
      </c>
      <c r="J40">
        <f t="shared" si="3"/>
        <v>1814</v>
      </c>
      <c r="M40">
        <f t="shared" si="2"/>
        <v>0.28590862259678396</v>
      </c>
    </row>
    <row r="41" spans="1:13" ht="12">
      <c r="A41" t="s">
        <v>83</v>
      </c>
      <c r="B41" s="3">
        <v>2</v>
      </c>
      <c r="C41" s="3"/>
      <c r="F41" s="9"/>
      <c r="G41" s="10"/>
      <c r="H41" s="11"/>
      <c r="J41">
        <f t="shared" si="3"/>
        <v>1816</v>
      </c>
      <c r="M41">
        <f t="shared" si="2"/>
        <v>0.28559376177527085</v>
      </c>
    </row>
    <row r="42" spans="1:13" ht="12">
      <c r="A42" t="s">
        <v>55</v>
      </c>
      <c r="B42" s="34">
        <v>210000000000</v>
      </c>
      <c r="C42" s="3" t="s">
        <v>114</v>
      </c>
      <c r="F42" s="9" t="s">
        <v>58</v>
      </c>
      <c r="G42" s="64">
        <f>1/(2*PI())*((B42*D37*D35^3)/(4*G36*D36^3*B43))^0.5</f>
        <v>29.625176527973103</v>
      </c>
      <c r="H42" s="28" t="s">
        <v>60</v>
      </c>
      <c r="J42">
        <f t="shared" si="3"/>
        <v>1818</v>
      </c>
      <c r="M42">
        <f t="shared" si="2"/>
        <v>0.285279593662245</v>
      </c>
    </row>
    <row r="43" spans="1:13" ht="12">
      <c r="A43" t="s">
        <v>53</v>
      </c>
      <c r="B43" s="3">
        <v>1</v>
      </c>
      <c r="C43" t="s">
        <v>36</v>
      </c>
      <c r="F43" s="9"/>
      <c r="G43" s="10"/>
      <c r="H43" s="11"/>
      <c r="J43">
        <f t="shared" si="3"/>
        <v>1820</v>
      </c>
      <c r="M43">
        <f t="shared" si="2"/>
        <v>0.2849661159745387</v>
      </c>
    </row>
    <row r="44" spans="6:13" ht="12">
      <c r="F44" s="9" t="s">
        <v>66</v>
      </c>
      <c r="G44" s="44">
        <f>(6*G37*D36)/(D37*D35^2)/1000000</f>
        <v>42.98946048</v>
      </c>
      <c r="H44" s="28" t="s">
        <v>62</v>
      </c>
      <c r="J44">
        <f t="shared" si="3"/>
        <v>1822</v>
      </c>
      <c r="M44">
        <f t="shared" si="2"/>
        <v>0.28465332643872965</v>
      </c>
    </row>
    <row r="45" spans="2:13" ht="12.75" thickBot="1">
      <c r="B45" t="s">
        <v>48</v>
      </c>
      <c r="F45" s="13"/>
      <c r="G45" s="14" t="str">
        <f>IF($G$44&gt;$G$24,"**BAD!**","Good")</f>
        <v>Good</v>
      </c>
      <c r="H45" s="15"/>
      <c r="J45">
        <f t="shared" si="3"/>
        <v>1824</v>
      </c>
      <c r="M45">
        <f t="shared" si="2"/>
        <v>0.28434122279121254</v>
      </c>
    </row>
    <row r="46" spans="1:13" ht="12">
      <c r="A46" t="s">
        <v>38</v>
      </c>
      <c r="B46">
        <f>(B36*10/J53)*180/PI()</f>
        <v>3.8364586900909465</v>
      </c>
      <c r="J46">
        <f t="shared" si="3"/>
        <v>1826</v>
      </c>
      <c r="M46">
        <f t="shared" si="2"/>
        <v>0.2840298027788777</v>
      </c>
    </row>
    <row r="47" spans="1:13" ht="12.75" thickBot="1">
      <c r="A47" t="s">
        <v>39</v>
      </c>
      <c r="B47">
        <f>SQRT(J53^2-(J53-G40*10)^2)+2</f>
        <v>54.1124132758395</v>
      </c>
      <c r="J47">
        <f t="shared" si="3"/>
        <v>1828</v>
      </c>
      <c r="M47">
        <f t="shared" si="2"/>
        <v>0.28371906415755976</v>
      </c>
    </row>
    <row r="48" spans="1:13" ht="12">
      <c r="A48" t="s">
        <v>40</v>
      </c>
      <c r="B48">
        <f>B36*10+2-B47</f>
        <v>-19.9052132758395</v>
      </c>
      <c r="C48" s="1"/>
      <c r="D48" s="25" t="s">
        <v>42</v>
      </c>
      <c r="E48" s="7"/>
      <c r="F48" s="7"/>
      <c r="G48" s="7"/>
      <c r="H48" s="8"/>
      <c r="J48">
        <f t="shared" si="3"/>
        <v>1830</v>
      </c>
      <c r="M48">
        <f t="shared" si="2"/>
        <v>0.2834090046939286</v>
      </c>
    </row>
    <row r="49" spans="3:13" ht="12">
      <c r="C49" s="3"/>
      <c r="D49" s="9" t="s">
        <v>67</v>
      </c>
      <c r="E49" s="10"/>
      <c r="F49" s="10">
        <v>0.37</v>
      </c>
      <c r="G49" s="10"/>
      <c r="H49" s="11"/>
      <c r="J49">
        <f t="shared" si="3"/>
        <v>1832</v>
      </c>
      <c r="M49">
        <f t="shared" si="2"/>
        <v>0.283099622163526</v>
      </c>
    </row>
    <row r="50" spans="2:13" ht="12">
      <c r="B50" s="3"/>
      <c r="C50" s="3"/>
      <c r="D50" s="9" t="s">
        <v>50</v>
      </c>
      <c r="E50" s="10"/>
      <c r="F50" s="10">
        <v>0.002</v>
      </c>
      <c r="G50" s="44">
        <f>D35/F50*(F49/D36)^2*F51</f>
        <v>1814.6806400291143</v>
      </c>
      <c r="H50" s="28" t="s">
        <v>60</v>
      </c>
      <c r="I50" s="10"/>
      <c r="J50">
        <f t="shared" si="3"/>
        <v>1834</v>
      </c>
      <c r="M50">
        <f t="shared" si="2"/>
        <v>0.28279091435204595</v>
      </c>
    </row>
    <row r="51" spans="4:8" ht="12.75" thickBot="1">
      <c r="D51" s="13" t="s">
        <v>68</v>
      </c>
      <c r="E51" s="14"/>
      <c r="F51" s="14">
        <v>55</v>
      </c>
      <c r="G51" s="14"/>
      <c r="H51" s="15"/>
    </row>
    <row r="52" spans="4:13" ht="12">
      <c r="D52" s="10"/>
      <c r="E52" s="10"/>
      <c r="F52" s="10"/>
      <c r="G52" s="10"/>
      <c r="H52" s="10"/>
      <c r="I52" t="s">
        <v>46</v>
      </c>
      <c r="J52">
        <v>130</v>
      </c>
      <c r="M52">
        <f>J52*(1-COS($L$7/J52))</f>
        <v>9.49743470763486</v>
      </c>
    </row>
    <row r="53" spans="4:13" ht="12">
      <c r="D53" s="10"/>
      <c r="E53" s="10"/>
      <c r="F53" s="10"/>
      <c r="G53" s="10"/>
      <c r="H53" s="10"/>
      <c r="I53" t="s">
        <v>37</v>
      </c>
      <c r="J53" s="74">
        <v>481</v>
      </c>
      <c r="K53" s="74"/>
      <c r="L53" s="74"/>
      <c r="M53" s="74">
        <f>J53*(1-COS($B$36*10/J53))</f>
        <v>1.0778754972835274</v>
      </c>
    </row>
    <row r="54" spans="4:13" ht="12">
      <c r="D54" s="10"/>
      <c r="E54" s="10"/>
      <c r="F54" s="10"/>
      <c r="G54" s="10"/>
      <c r="H54" s="10"/>
      <c r="J54">
        <v>138.3</v>
      </c>
      <c r="M54">
        <f>J54*(1-COS($L$7/J54))</f>
        <v>8.94030346490971</v>
      </c>
    </row>
    <row r="55" spans="4:13" ht="12">
      <c r="D55" s="10"/>
      <c r="E55" s="10"/>
      <c r="F55" s="10"/>
      <c r="G55" s="10"/>
      <c r="H55" s="10"/>
      <c r="J55">
        <v>138.1</v>
      </c>
      <c r="M55">
        <f>J55*(1-COS($L$7/J55))</f>
        <v>8.95296776256143</v>
      </c>
    </row>
    <row r="57" ht="12">
      <c r="F57" t="s">
        <v>17</v>
      </c>
    </row>
    <row r="58" ht="12">
      <c r="H58" t="s">
        <v>13</v>
      </c>
    </row>
    <row r="59" spans="1:6" ht="12">
      <c r="A59" s="16" t="s">
        <v>102</v>
      </c>
      <c r="E59" t="s">
        <v>15</v>
      </c>
      <c r="F59" t="s">
        <v>16</v>
      </c>
    </row>
    <row r="60" ht="12">
      <c r="G60" t="s">
        <v>14</v>
      </c>
    </row>
    <row r="61" ht="12">
      <c r="F61" s="2"/>
    </row>
    <row r="62" spans="1:8" ht="12">
      <c r="A62" t="s">
        <v>106</v>
      </c>
      <c r="B62" s="3">
        <v>75</v>
      </c>
      <c r="C62" s="3" t="s">
        <v>108</v>
      </c>
      <c r="D62">
        <f>B62/1000</f>
        <v>0.075</v>
      </c>
      <c r="E62" s="10"/>
      <c r="F62" s="10" t="s">
        <v>98</v>
      </c>
      <c r="G62" s="50">
        <f>B65*PI()*D62^2*D63</f>
        <v>2.9184414004144927</v>
      </c>
      <c r="H62" t="s">
        <v>65</v>
      </c>
    </row>
    <row r="63" spans="1:7" ht="12">
      <c r="A63" t="s">
        <v>50</v>
      </c>
      <c r="B63" s="3">
        <v>75</v>
      </c>
      <c r="C63" s="3" t="s">
        <v>108</v>
      </c>
      <c r="D63">
        <f>B63/1000</f>
        <v>0.075</v>
      </c>
      <c r="E63" s="10"/>
      <c r="F63" s="10" t="s">
        <v>99</v>
      </c>
      <c r="G63" s="49">
        <f>G62*D62^2/2</f>
        <v>0.008208116438665761</v>
      </c>
    </row>
    <row r="64" spans="1:7" ht="12">
      <c r="A64" t="s">
        <v>105</v>
      </c>
      <c r="B64" s="3">
        <v>50</v>
      </c>
      <c r="C64" s="3" t="s">
        <v>108</v>
      </c>
      <c r="D64">
        <f>B64/1000</f>
        <v>0.05</v>
      </c>
      <c r="E64" s="10"/>
      <c r="F64" s="10" t="s">
        <v>100</v>
      </c>
      <c r="G64" s="49">
        <f>G62*(D62^2/4+D63^2/12)</f>
        <v>0.005472077625777174</v>
      </c>
    </row>
    <row r="65" spans="1:7" ht="12">
      <c r="A65" t="s">
        <v>5</v>
      </c>
      <c r="B65" s="3">
        <v>2202</v>
      </c>
      <c r="C65" s="27"/>
      <c r="F65" s="10" t="s">
        <v>101</v>
      </c>
      <c r="G65" s="49">
        <f>G64</f>
        <v>0.005472077625777174</v>
      </c>
    </row>
    <row r="67" spans="1:3" ht="12.75" thickBot="1">
      <c r="A67" t="s">
        <v>6</v>
      </c>
      <c r="B67">
        <f>D64/2</f>
        <v>0.025</v>
      </c>
      <c r="C67" t="s">
        <v>61</v>
      </c>
    </row>
    <row r="68" spans="1:8" ht="12">
      <c r="A68" t="s">
        <v>107</v>
      </c>
      <c r="B68" s="51">
        <f>(D62^2-B67^2)^0.5</f>
        <v>0.07071067811865475</v>
      </c>
      <c r="C68" t="s">
        <v>61</v>
      </c>
      <c r="E68" s="25" t="s">
        <v>112</v>
      </c>
      <c r="F68" s="45">
        <f>1000*(D62-B68)</f>
        <v>4.289321881345246</v>
      </c>
      <c r="G68" s="29" t="s">
        <v>108</v>
      </c>
      <c r="H68" s="12"/>
    </row>
    <row r="69" spans="1:7" ht="12.75" thickBot="1">
      <c r="A69" t="s">
        <v>109</v>
      </c>
      <c r="B69" s="78">
        <f>ASIN(B67/D62)*180/PI()</f>
        <v>19.471220634490695</v>
      </c>
      <c r="E69" s="46" t="s">
        <v>23</v>
      </c>
      <c r="F69" s="47">
        <f>((2*B69*PI()*D62^2)/360-(B68*B67))*B65*1000*D63</f>
        <v>23.75115669706305</v>
      </c>
      <c r="G69" s="33" t="s">
        <v>110</v>
      </c>
    </row>
    <row r="71" ht="12">
      <c r="A71" s="4" t="s">
        <v>18</v>
      </c>
    </row>
    <row r="72" spans="1:5" ht="12">
      <c r="A72" s="4"/>
      <c r="D72" t="s">
        <v>99</v>
      </c>
      <c r="E72" s="79">
        <f>(B74/1000)*(D63^2+D64^2)/12</f>
        <v>1.62139453125E-05</v>
      </c>
    </row>
    <row r="73" spans="1:8" ht="12">
      <c r="A73" s="3" t="s">
        <v>113</v>
      </c>
      <c r="B73" s="3">
        <v>0.0029</v>
      </c>
      <c r="D73" t="s">
        <v>100</v>
      </c>
      <c r="E73">
        <f>(1/12*(B74/1000)*(B73^2+D64^2))+((B74/1000)*B75^2)</f>
        <v>0.00013454808759750001</v>
      </c>
      <c r="F73" s="61" t="s">
        <v>21</v>
      </c>
      <c r="G73" s="62" t="s">
        <v>22</v>
      </c>
      <c r="H73" s="12"/>
    </row>
    <row r="74" spans="1:7" ht="12">
      <c r="A74" s="60" t="s">
        <v>111</v>
      </c>
      <c r="B74" s="60">
        <f>B65*D64*D63*B73*1000</f>
        <v>23.946749999999998</v>
      </c>
      <c r="C74" t="s">
        <v>110</v>
      </c>
      <c r="D74" t="s">
        <v>101</v>
      </c>
      <c r="E74">
        <f>(1/12*(B74/1000)*(B73^2+D63^2))+((B74/1000)*B75^2)</f>
        <v>0.00014078422041000004</v>
      </c>
      <c r="G74" s="60" t="s">
        <v>23</v>
      </c>
    </row>
    <row r="75" spans="1:3" ht="12">
      <c r="A75" t="s">
        <v>115</v>
      </c>
      <c r="B75">
        <f>D62-B73/2</f>
        <v>0.07355</v>
      </c>
      <c r="C75" t="s">
        <v>61</v>
      </c>
    </row>
    <row r="76" ht="12.75" thickBot="1"/>
    <row r="77" spans="1:7" ht="12">
      <c r="A77" s="4" t="s">
        <v>27</v>
      </c>
      <c r="E77" s="25" t="s">
        <v>98</v>
      </c>
      <c r="F77" s="65">
        <f>G62-2*(F69/1000)</f>
        <v>2.870939087020367</v>
      </c>
      <c r="G77" s="29" t="s">
        <v>65</v>
      </c>
    </row>
    <row r="78" spans="1:8" ht="12">
      <c r="A78" s="4" t="s">
        <v>20</v>
      </c>
      <c r="E78" s="35" t="s">
        <v>99</v>
      </c>
      <c r="F78" s="42">
        <f>G63-2*E72</f>
        <v>0.00817568854804076</v>
      </c>
      <c r="G78" s="28"/>
      <c r="H78" s="12"/>
    </row>
    <row r="79" spans="5:7" ht="12">
      <c r="E79" s="35" t="s">
        <v>100</v>
      </c>
      <c r="F79" s="41">
        <f>G64-2*E73</f>
        <v>0.005202981450582174</v>
      </c>
      <c r="G79" s="11"/>
    </row>
    <row r="80" spans="5:7" ht="12.75" thickBot="1">
      <c r="E80" s="46" t="s">
        <v>101</v>
      </c>
      <c r="F80" s="56">
        <f>G65-2*E74</f>
        <v>0.005190509184957174</v>
      </c>
      <c r="G80" s="33"/>
    </row>
    <row r="81" spans="5:7" ht="12">
      <c r="E81" s="12"/>
      <c r="F81" s="41"/>
      <c r="G81" s="12"/>
    </row>
    <row r="82" spans="5:7" ht="12">
      <c r="E82" s="12"/>
      <c r="F82" s="41"/>
      <c r="G82" s="12"/>
    </row>
    <row r="83" spans="5:8" ht="12">
      <c r="E83" s="12"/>
      <c r="F83" s="10" t="s">
        <v>98</v>
      </c>
      <c r="G83" s="50">
        <f>G62</f>
        <v>2.9184414004144927</v>
      </c>
      <c r="H83" t="s">
        <v>65</v>
      </c>
    </row>
    <row r="84" spans="5:7" ht="12">
      <c r="E84" s="12"/>
      <c r="F84" s="10" t="s">
        <v>99</v>
      </c>
      <c r="G84" s="49">
        <f>G63</f>
        <v>0.008208116438665761</v>
      </c>
    </row>
    <row r="85" spans="5:7" ht="12">
      <c r="E85" s="12"/>
      <c r="F85" s="10" t="s">
        <v>100</v>
      </c>
      <c r="G85" s="49">
        <f>G64</f>
        <v>0.005472077625777174</v>
      </c>
    </row>
    <row r="86" spans="5:7" ht="12">
      <c r="E86" s="12"/>
      <c r="F86" s="10" t="s">
        <v>101</v>
      </c>
      <c r="G86" s="49">
        <f>G65</f>
        <v>0.005472077625777174</v>
      </c>
    </row>
    <row r="87" spans="1:7" ht="12">
      <c r="A87" s="16" t="s">
        <v>8</v>
      </c>
      <c r="B87" s="16" t="s">
        <v>94</v>
      </c>
      <c r="E87" s="12"/>
      <c r="F87" s="41"/>
      <c r="G87" s="12"/>
    </row>
    <row r="88" spans="1:8" ht="12">
      <c r="A88" s="10" t="s">
        <v>9</v>
      </c>
      <c r="B88" s="3">
        <v>75</v>
      </c>
      <c r="C88" s="21" t="s">
        <v>108</v>
      </c>
      <c r="D88" s="80">
        <f>B88/1000</f>
        <v>0.075</v>
      </c>
      <c r="E88" s="48"/>
      <c r="F88" s="10" t="s">
        <v>98</v>
      </c>
      <c r="G88" s="10">
        <f>B92*PI()*D88^2*D90-B92*PI()*D89^2*D90</f>
        <v>2.9270297293312444</v>
      </c>
      <c r="H88" s="10" t="s">
        <v>65</v>
      </c>
    </row>
    <row r="89" spans="1:8" ht="12">
      <c r="A89" t="s">
        <v>10</v>
      </c>
      <c r="B89" s="3">
        <v>32</v>
      </c>
      <c r="C89" s="21" t="s">
        <v>108</v>
      </c>
      <c r="D89" s="80">
        <f>B89/1000</f>
        <v>0.032</v>
      </c>
      <c r="E89" s="10"/>
      <c r="F89" s="10" t="s">
        <v>99</v>
      </c>
      <c r="G89" s="10">
        <f>B93*D88^2/2-B94*D89^2/2</f>
        <v>0.00973091033516172</v>
      </c>
      <c r="H89" s="10"/>
    </row>
    <row r="90" spans="1:8" ht="12">
      <c r="A90" s="10" t="s">
        <v>50</v>
      </c>
      <c r="B90" s="3">
        <v>75</v>
      </c>
      <c r="C90" s="21" t="s">
        <v>108</v>
      </c>
      <c r="D90" s="80">
        <f>B90/1000</f>
        <v>0.075</v>
      </c>
      <c r="E90" s="10"/>
      <c r="F90" s="10" t="s">
        <v>100</v>
      </c>
      <c r="G90" s="10">
        <f>B93*(D88^2/4+D90^2/12)-B94*(D89^2/4+D90^2/12)</f>
        <v>0.006237500353204881</v>
      </c>
      <c r="H90" s="10"/>
    </row>
    <row r="91" spans="1:7" ht="12">
      <c r="A91" t="s">
        <v>105</v>
      </c>
      <c r="B91" s="3">
        <v>50</v>
      </c>
      <c r="C91" s="21" t="s">
        <v>108</v>
      </c>
      <c r="D91" s="80">
        <f>B91/1000</f>
        <v>0.05</v>
      </c>
      <c r="E91" s="10"/>
      <c r="F91" s="10" t="s">
        <v>101</v>
      </c>
      <c r="G91" s="10">
        <f>G90</f>
        <v>0.006237500353204881</v>
      </c>
    </row>
    <row r="92" spans="1:10" ht="12">
      <c r="A92" s="10" t="s">
        <v>95</v>
      </c>
      <c r="B92" s="21">
        <v>2700</v>
      </c>
      <c r="C92" s="10"/>
      <c r="D92" s="10"/>
      <c r="E92" s="10"/>
      <c r="I92" s="10"/>
      <c r="J92" s="10"/>
    </row>
    <row r="93" spans="1:10" ht="12.75" thickBot="1">
      <c r="A93" t="s">
        <v>11</v>
      </c>
      <c r="B93" s="10">
        <f>B92*PI()*D88^2*D90</f>
        <v>3.5784703819796237</v>
      </c>
      <c r="C93" s="10" t="s">
        <v>65</v>
      </c>
      <c r="D93" s="10"/>
      <c r="E93" s="10"/>
      <c r="F93" s="12"/>
      <c r="G93" s="43"/>
      <c r="H93" s="12"/>
      <c r="I93" s="10">
        <v>2.92</v>
      </c>
      <c r="J93" s="10"/>
    </row>
    <row r="94" spans="1:10" ht="12">
      <c r="A94" t="s">
        <v>12</v>
      </c>
      <c r="B94" s="10">
        <f>B92*PI()*D89^2*D90</f>
        <v>0.6514406526483795</v>
      </c>
      <c r="C94" t="s">
        <v>65</v>
      </c>
      <c r="E94" s="25" t="s">
        <v>112</v>
      </c>
      <c r="F94" s="45">
        <f>1000*(D88-B97)</f>
        <v>4.289321881345246</v>
      </c>
      <c r="G94" s="29" t="s">
        <v>108</v>
      </c>
      <c r="I94" s="10">
        <v>2.92</v>
      </c>
      <c r="J94" s="10"/>
    </row>
    <row r="95" spans="1:10" ht="12.75" thickBot="1">
      <c r="A95" s="4" t="s">
        <v>18</v>
      </c>
      <c r="E95" s="46" t="s">
        <v>23</v>
      </c>
      <c r="F95" s="47">
        <f>((2*B98*PI()*D88^2)/360-(B97*B96))*B92*1000*D90</f>
        <v>29.122671699396108</v>
      </c>
      <c r="G95" s="33" t="s">
        <v>110</v>
      </c>
      <c r="I95" s="10">
        <f>I94+I93</f>
        <v>5.84</v>
      </c>
      <c r="J95" s="10"/>
    </row>
    <row r="96" spans="1:10" ht="12">
      <c r="A96" t="s">
        <v>6</v>
      </c>
      <c r="B96">
        <f>D91/2</f>
        <v>0.025</v>
      </c>
      <c r="C96" t="s">
        <v>61</v>
      </c>
      <c r="I96" s="10"/>
      <c r="J96" s="10"/>
    </row>
    <row r="97" spans="1:10" ht="12">
      <c r="A97" t="s">
        <v>107</v>
      </c>
      <c r="B97" s="51">
        <f>(D88^2-B96^2)^0.5</f>
        <v>0.07071067811865475</v>
      </c>
      <c r="C97" t="s">
        <v>61</v>
      </c>
      <c r="D97" t="s">
        <v>99</v>
      </c>
      <c r="E97" s="57">
        <f>(B100/1000)*(D90^2+D91^2)/12</f>
        <v>1.9880859375E-05</v>
      </c>
      <c r="I97" s="10"/>
      <c r="J97" s="10"/>
    </row>
    <row r="98" spans="1:10" ht="12">
      <c r="A98" t="s">
        <v>109</v>
      </c>
      <c r="B98" s="78">
        <f>ASIN(B96/D88)*180/PI()</f>
        <v>19.471220634490695</v>
      </c>
      <c r="D98" t="s">
        <v>100</v>
      </c>
      <c r="E98" s="57">
        <f>(1/12*(B100/1000)*(B99^2+D91^2))+((B100/1000)*B101^2)</f>
        <v>0.000164977219125</v>
      </c>
      <c r="I98" s="10"/>
      <c r="J98" s="10"/>
    </row>
    <row r="99" spans="1:10" ht="12">
      <c r="A99" s="3" t="s">
        <v>113</v>
      </c>
      <c r="B99" s="3">
        <v>0.0029</v>
      </c>
      <c r="D99" t="s">
        <v>101</v>
      </c>
      <c r="E99" s="57">
        <f>(1/12*(B100/1000)*(B99^2+D90^2))+((B100/1000)*B101^2)</f>
        <v>0.0001726237035</v>
      </c>
      <c r="F99" s="61" t="s">
        <v>21</v>
      </c>
      <c r="G99" s="62" t="s">
        <v>22</v>
      </c>
      <c r="H99" s="12"/>
      <c r="I99" s="10"/>
      <c r="J99" s="10"/>
    </row>
    <row r="100" spans="1:10" ht="12.75" thickBot="1">
      <c r="A100" s="60" t="s">
        <v>111</v>
      </c>
      <c r="B100" s="60">
        <f>D90*B92*D91*B99*1000</f>
        <v>29.3625</v>
      </c>
      <c r="C100" t="s">
        <v>110</v>
      </c>
      <c r="G100" s="60" t="s">
        <v>23</v>
      </c>
      <c r="I100" s="10"/>
      <c r="J100" s="10"/>
    </row>
    <row r="101" spans="1:10" ht="12">
      <c r="A101" t="s">
        <v>115</v>
      </c>
      <c r="B101">
        <f>D88-B99/2</f>
        <v>0.07355</v>
      </c>
      <c r="C101" t="s">
        <v>61</v>
      </c>
      <c r="E101" s="25" t="s">
        <v>98</v>
      </c>
      <c r="F101" s="66">
        <f>G88-2*(F95/1000)</f>
        <v>2.868784385932452</v>
      </c>
      <c r="G101" s="29" t="s">
        <v>65</v>
      </c>
      <c r="H101" s="53"/>
      <c r="I101" s="10"/>
      <c r="J101" s="10"/>
    </row>
    <row r="102" spans="5:10" ht="12">
      <c r="E102" s="35" t="s">
        <v>99</v>
      </c>
      <c r="F102" s="42">
        <f>G89-2*E97</f>
        <v>0.00969114861641172</v>
      </c>
      <c r="G102" s="28"/>
      <c r="I102" s="10"/>
      <c r="J102" s="10"/>
    </row>
    <row r="103" spans="1:10" ht="12">
      <c r="A103" s="4" t="s">
        <v>19</v>
      </c>
      <c r="E103" s="35" t="s">
        <v>100</v>
      </c>
      <c r="F103" s="41">
        <f>G90-2*E98</f>
        <v>0.005907545914954881</v>
      </c>
      <c r="G103" s="11"/>
      <c r="I103" s="10"/>
      <c r="J103" s="10"/>
    </row>
    <row r="104" spans="5:10" ht="12.75" thickBot="1">
      <c r="E104" s="46" t="s">
        <v>101</v>
      </c>
      <c r="F104" s="56">
        <f>G91-2*E99</f>
        <v>0.005892252946204881</v>
      </c>
      <c r="G104" s="33"/>
      <c r="I104" s="10"/>
      <c r="J104" s="10"/>
    </row>
    <row r="105" spans="9:10" ht="12">
      <c r="I105" s="10"/>
      <c r="J105" s="10"/>
    </row>
    <row r="106" spans="9:10" ht="12">
      <c r="I106" s="10"/>
      <c r="J106" s="10"/>
    </row>
    <row r="107" spans="9:10" ht="12">
      <c r="I107" s="10"/>
      <c r="J107" s="10"/>
    </row>
    <row r="108" spans="9:10" ht="12">
      <c r="I108" s="10"/>
      <c r="J108" s="10"/>
    </row>
    <row r="109" spans="9:10" ht="12">
      <c r="I109" s="10"/>
      <c r="J109" s="10"/>
    </row>
    <row r="112" spans="1:8" ht="12">
      <c r="A112" s="10"/>
      <c r="B112" s="10"/>
      <c r="D112" s="10"/>
      <c r="H112" s="12"/>
    </row>
    <row r="113" spans="1:2" ht="12">
      <c r="A113" s="10"/>
      <c r="B113" s="10"/>
    </row>
    <row r="114" spans="1:2" ht="12">
      <c r="A114" s="10"/>
      <c r="B114" s="10"/>
    </row>
    <row r="115" spans="1:2" ht="12">
      <c r="A115" s="10"/>
      <c r="B115" s="10"/>
    </row>
    <row r="116" spans="1:2" ht="12">
      <c r="A116" s="10"/>
      <c r="B116" s="10"/>
    </row>
    <row r="117" spans="1:2" ht="12">
      <c r="A117" s="10"/>
      <c r="B117" s="10"/>
    </row>
    <row r="118" spans="1:8" ht="12">
      <c r="A118" s="10"/>
      <c r="B118" s="10"/>
      <c r="F118" s="12"/>
      <c r="G118" s="41"/>
      <c r="H118" s="12"/>
    </row>
    <row r="119" ht="12">
      <c r="A119" t="s">
        <v>103</v>
      </c>
    </row>
    <row r="120" ht="12.75" thickBot="1"/>
    <row r="121" spans="1:8" ht="12">
      <c r="A121" s="19" t="s">
        <v>69</v>
      </c>
      <c r="B121" s="7"/>
      <c r="C121" s="7"/>
      <c r="D121" s="7"/>
      <c r="E121" s="7"/>
      <c r="F121" s="7"/>
      <c r="G121" s="7"/>
      <c r="H121" s="8"/>
    </row>
    <row r="122" spans="1:8" ht="12">
      <c r="A122" s="9"/>
      <c r="B122" s="10"/>
      <c r="C122" s="10"/>
      <c r="D122" s="10"/>
      <c r="E122" s="10"/>
      <c r="F122" s="10"/>
      <c r="G122" s="10"/>
      <c r="H122" s="11"/>
    </row>
    <row r="123" spans="1:8" ht="12">
      <c r="A123" s="9" t="s">
        <v>80</v>
      </c>
      <c r="B123">
        <v>0</v>
      </c>
      <c r="C123" s="21"/>
      <c r="D123" s="10"/>
      <c r="E123" s="10"/>
      <c r="F123" s="10"/>
      <c r="G123" s="10"/>
      <c r="H123" s="11"/>
    </row>
    <row r="124" spans="1:8" ht="12">
      <c r="A124" s="9" t="s">
        <v>81</v>
      </c>
      <c r="B124" s="3">
        <f>0.124/2</f>
        <v>0.062</v>
      </c>
      <c r="C124" s="21"/>
      <c r="D124" s="10"/>
      <c r="E124" s="10"/>
      <c r="F124" s="10"/>
      <c r="G124" s="10"/>
      <c r="H124" s="11"/>
    </row>
    <row r="125" spans="1:8" ht="12">
      <c r="A125" s="9" t="s">
        <v>82</v>
      </c>
      <c r="B125" s="3">
        <v>0</v>
      </c>
      <c r="C125" s="21"/>
      <c r="D125" s="10"/>
      <c r="E125" s="10"/>
      <c r="F125" s="10"/>
      <c r="G125" s="10"/>
      <c r="H125" s="11"/>
    </row>
    <row r="126" spans="1:8" ht="12">
      <c r="A126" s="9" t="s">
        <v>70</v>
      </c>
      <c r="B126" s="10">
        <f>B125+B124+B123</f>
        <v>0.062</v>
      </c>
      <c r="C126" s="10" t="s">
        <v>65</v>
      </c>
      <c r="E126" s="10"/>
      <c r="F126" s="16" t="s">
        <v>75</v>
      </c>
      <c r="G126" s="10"/>
      <c r="H126" s="11"/>
    </row>
    <row r="127" spans="1:8" ht="12">
      <c r="A127" s="9" t="s">
        <v>71</v>
      </c>
      <c r="B127" s="21">
        <v>2</v>
      </c>
      <c r="C127" s="21"/>
      <c r="D127" s="10"/>
      <c r="E127" s="10"/>
      <c r="F127" s="10"/>
      <c r="G127" s="10"/>
      <c r="H127" s="11"/>
    </row>
    <row r="128" spans="1:8" ht="12">
      <c r="A128" s="9" t="s">
        <v>72</v>
      </c>
      <c r="B128" s="10">
        <v>9.81</v>
      </c>
      <c r="C128" s="10"/>
      <c r="D128" s="10"/>
      <c r="E128" s="10"/>
      <c r="F128" s="10" t="s">
        <v>73</v>
      </c>
      <c r="G128" s="10">
        <f>(B126*B128*3/B127/PI()/B130)^0.5</f>
        <v>1.2049972167230465E-05</v>
      </c>
      <c r="H128" s="11"/>
    </row>
    <row r="129" spans="1:8" ht="12">
      <c r="A129" s="9" t="s">
        <v>74</v>
      </c>
      <c r="B129" s="22"/>
      <c r="C129" s="22"/>
      <c r="D129" s="10"/>
      <c r="E129" s="10"/>
      <c r="F129" s="10"/>
      <c r="G129" s="10">
        <f>G128*1000000</f>
        <v>12.049972167230464</v>
      </c>
      <c r="H129" s="11"/>
    </row>
    <row r="130" spans="1:8" ht="12.75" thickBot="1">
      <c r="A130" s="23" t="s">
        <v>92</v>
      </c>
      <c r="B130" s="22">
        <v>2000000000</v>
      </c>
      <c r="C130" s="22"/>
      <c r="D130" s="14"/>
      <c r="E130" s="14"/>
      <c r="F130" s="14"/>
      <c r="G130" s="14"/>
      <c r="H130" s="15"/>
    </row>
    <row r="131" spans="1:8" ht="12">
      <c r="A131" s="9"/>
      <c r="B131" s="10"/>
      <c r="C131" s="10"/>
      <c r="D131" s="10"/>
      <c r="E131" s="10"/>
      <c r="F131" s="10"/>
      <c r="G131" s="10"/>
      <c r="H131" s="11"/>
    </row>
    <row r="132" spans="1:8" ht="12">
      <c r="A132" s="9" t="s">
        <v>76</v>
      </c>
      <c r="B132" s="10"/>
      <c r="C132" s="10"/>
      <c r="D132" s="10">
        <v>127</v>
      </c>
      <c r="E132" s="10"/>
      <c r="F132" s="10">
        <f>D132/1000000</f>
        <v>0.000127</v>
      </c>
      <c r="G132" s="17"/>
      <c r="H132" s="11"/>
    </row>
    <row r="133" spans="1:8" ht="12">
      <c r="A133" s="9"/>
      <c r="B133" s="10"/>
      <c r="C133" s="10"/>
      <c r="D133" s="10"/>
      <c r="E133" s="10"/>
      <c r="F133" s="10"/>
      <c r="G133" s="10"/>
      <c r="H133" s="20"/>
    </row>
    <row r="134" spans="1:8" ht="12">
      <c r="A134" s="9" t="s">
        <v>77</v>
      </c>
      <c r="B134" s="10"/>
      <c r="C134" s="10"/>
      <c r="D134" s="10">
        <f>B126*B128/B127/PI()/(F132)^2</f>
        <v>6001687.611591084</v>
      </c>
      <c r="E134" s="10"/>
      <c r="F134" s="10"/>
      <c r="G134" s="10"/>
      <c r="H134" s="11"/>
    </row>
    <row r="135" spans="1:8" ht="12">
      <c r="A135" s="9"/>
      <c r="B135" s="10"/>
      <c r="C135" s="10"/>
      <c r="D135" s="10"/>
      <c r="E135" s="10"/>
      <c r="F135" s="10"/>
      <c r="G135" s="10"/>
      <c r="H135" s="11"/>
    </row>
    <row r="136" spans="1:8" ht="12.75" thickBot="1">
      <c r="A136" s="13" t="s">
        <v>79</v>
      </c>
      <c r="B136" s="14"/>
      <c r="C136" s="14"/>
      <c r="D136" s="81">
        <f>(D134/B130)*100</f>
        <v>0.30008438057955417</v>
      </c>
      <c r="E136" s="14" t="s">
        <v>24</v>
      </c>
      <c r="F136" s="14"/>
      <c r="G136" s="14"/>
      <c r="H136" s="15"/>
    </row>
    <row r="137" spans="1:8" ht="12">
      <c r="A137" s="10"/>
      <c r="B137" s="10"/>
      <c r="C137" s="10"/>
      <c r="D137" s="17"/>
      <c r="E137" s="10"/>
      <c r="F137" s="10"/>
      <c r="G137" s="10"/>
      <c r="H137" s="10"/>
    </row>
    <row r="138" ht="12.75" thickBot="1"/>
    <row r="139" spans="1:8" ht="12">
      <c r="A139" t="s">
        <v>87</v>
      </c>
      <c r="B139" t="s">
        <v>93</v>
      </c>
      <c r="D139" t="s">
        <v>104</v>
      </c>
      <c r="F139" s="1"/>
      <c r="G139" s="6" t="s">
        <v>35</v>
      </c>
      <c r="H139" s="8"/>
    </row>
    <row r="140" spans="1:8" ht="12">
      <c r="A140" t="s">
        <v>88</v>
      </c>
      <c r="B140">
        <v>6</v>
      </c>
      <c r="D140">
        <f aca="true" t="shared" si="4" ref="D140:D149">B140*0.0254/2*1000</f>
        <v>76.19999999999999</v>
      </c>
      <c r="E140" t="s">
        <v>90</v>
      </c>
      <c r="G140" s="9"/>
      <c r="H140" s="11"/>
    </row>
    <row r="141" spans="1:8" ht="12">
      <c r="A141" t="s">
        <v>89</v>
      </c>
      <c r="B141">
        <v>8</v>
      </c>
      <c r="D141">
        <f t="shared" si="4"/>
        <v>101.6</v>
      </c>
      <c r="E141" t="s">
        <v>90</v>
      </c>
      <c r="G141" s="9" t="s">
        <v>33</v>
      </c>
      <c r="H141" s="11">
        <v>25</v>
      </c>
    </row>
    <row r="142" spans="1:8" ht="12.75" thickBot="1">
      <c r="A142" t="s">
        <v>91</v>
      </c>
      <c r="B142">
        <v>10</v>
      </c>
      <c r="D142">
        <f t="shared" si="4"/>
        <v>127</v>
      </c>
      <c r="G142" s="13" t="s">
        <v>34</v>
      </c>
      <c r="H142" s="15">
        <f>H141*9.81/(PI()*(F132)^2)</f>
        <v>4840070654.508939</v>
      </c>
    </row>
    <row r="143" spans="2:4" ht="12">
      <c r="B143">
        <v>12</v>
      </c>
      <c r="D143">
        <f t="shared" si="4"/>
        <v>152.39999999999998</v>
      </c>
    </row>
    <row r="144" spans="2:4" ht="12">
      <c r="B144">
        <v>14</v>
      </c>
      <c r="D144">
        <f t="shared" si="4"/>
        <v>177.79999999999998</v>
      </c>
    </row>
    <row r="145" spans="2:4" ht="12">
      <c r="B145">
        <v>16</v>
      </c>
      <c r="D145">
        <f t="shared" si="4"/>
        <v>203.2</v>
      </c>
    </row>
    <row r="146" spans="2:4" ht="12">
      <c r="B146">
        <v>18</v>
      </c>
      <c r="D146">
        <f t="shared" si="4"/>
        <v>228.6</v>
      </c>
    </row>
    <row r="147" spans="2:4" ht="12">
      <c r="B147">
        <v>20</v>
      </c>
      <c r="D147">
        <f t="shared" si="4"/>
        <v>254</v>
      </c>
    </row>
    <row r="148" spans="2:4" ht="12">
      <c r="B148">
        <v>22</v>
      </c>
      <c r="D148">
        <f t="shared" si="4"/>
        <v>279.4</v>
      </c>
    </row>
    <row r="149" spans="2:4" ht="12">
      <c r="B149">
        <v>24</v>
      </c>
      <c r="D149">
        <f t="shared" si="4"/>
        <v>304.79999999999995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125" zoomScaleNormal="125" workbookViewId="0" topLeftCell="A1">
      <selection activeCell="I32" sqref="I32"/>
    </sheetView>
  </sheetViews>
  <sheetFormatPr defaultColWidth="8.8515625" defaultRowHeight="12.75"/>
  <cols>
    <col min="1" max="1" width="17.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9" width="8.8515625" style="0" customWidth="1"/>
    <col min="10" max="10" width="11.421875" style="0" customWidth="1"/>
    <col min="11" max="11" width="10.28125" style="0" customWidth="1"/>
    <col min="12" max="12" width="11.28125" style="0" customWidth="1"/>
    <col min="13" max="17" width="8.8515625" style="0" customWidth="1"/>
    <col min="18" max="18" width="11.00390625" style="0" bestFit="1" customWidth="1"/>
    <col min="19" max="19" width="8.8515625" style="0" customWidth="1"/>
    <col min="20" max="20" width="15.140625" style="0" customWidth="1"/>
  </cols>
  <sheetData>
    <row r="1" spans="1:8" ht="12.75" thickBot="1">
      <c r="A1" t="s">
        <v>7</v>
      </c>
      <c r="H1" s="36"/>
    </row>
    <row r="2" spans="1:8" ht="12">
      <c r="A2" t="s">
        <v>43</v>
      </c>
      <c r="G2" s="37" t="s">
        <v>3</v>
      </c>
      <c r="H2" s="38"/>
    </row>
    <row r="3" spans="1:11" ht="12.75" thickBot="1">
      <c r="A3" t="s">
        <v>44</v>
      </c>
      <c r="G3" s="39" t="s">
        <v>4</v>
      </c>
      <c r="H3" s="40"/>
      <c r="K3" t="s">
        <v>28</v>
      </c>
    </row>
    <row r="4" spans="1:17" ht="12">
      <c r="A4" s="4" t="s">
        <v>116</v>
      </c>
      <c r="Q4" s="4"/>
    </row>
    <row r="5" spans="1:17" ht="12">
      <c r="A5" s="4" t="s">
        <v>117</v>
      </c>
      <c r="K5" t="s">
        <v>29</v>
      </c>
      <c r="Q5" s="4"/>
    </row>
    <row r="6" spans="1:17" ht="12">
      <c r="A6" s="26" t="s">
        <v>118</v>
      </c>
      <c r="Q6" s="4"/>
    </row>
    <row r="7" spans="1:17" ht="12">
      <c r="A7" s="18" t="s">
        <v>0</v>
      </c>
      <c r="G7" s="18"/>
      <c r="K7" t="s">
        <v>25</v>
      </c>
      <c r="L7">
        <f>B14*10</f>
        <v>50</v>
      </c>
      <c r="M7" t="s">
        <v>108</v>
      </c>
      <c r="Q7" s="4"/>
    </row>
    <row r="8" spans="1:14" ht="21">
      <c r="A8" s="72" t="s">
        <v>96</v>
      </c>
      <c r="G8" s="72" t="s">
        <v>97</v>
      </c>
      <c r="H8" s="24"/>
      <c r="K8" t="s">
        <v>30</v>
      </c>
      <c r="L8" s="67">
        <f>G19</f>
        <v>8.265174328537128</v>
      </c>
      <c r="M8" t="s">
        <v>108</v>
      </c>
      <c r="N8" s="3"/>
    </row>
    <row r="9" spans="1:14" ht="21">
      <c r="A9" s="84" t="s">
        <v>78</v>
      </c>
      <c r="G9" s="84" t="s">
        <v>44</v>
      </c>
      <c r="H9" s="24"/>
      <c r="L9" s="67"/>
      <c r="N9" s="3"/>
    </row>
    <row r="10" spans="4:13" ht="12">
      <c r="D10" s="2"/>
      <c r="L10" s="3"/>
      <c r="M10" s="68" t="s">
        <v>32</v>
      </c>
    </row>
    <row r="11" spans="1:13" ht="12">
      <c r="A11" t="s">
        <v>45</v>
      </c>
      <c r="J11" t="s">
        <v>26</v>
      </c>
      <c r="K11" t="s">
        <v>108</v>
      </c>
      <c r="L11" t="s">
        <v>31</v>
      </c>
      <c r="M11" t="s">
        <v>108</v>
      </c>
    </row>
    <row r="12" spans="10:13" ht="12">
      <c r="J12">
        <v>190</v>
      </c>
      <c r="M12">
        <f>J12*(1-COS($B$14*10/J12))</f>
        <v>6.541067755796371</v>
      </c>
    </row>
    <row r="13" spans="1:18" ht="12">
      <c r="A13" t="s">
        <v>50</v>
      </c>
      <c r="B13" s="3">
        <v>0.254</v>
      </c>
      <c r="C13" s="3" t="s">
        <v>108</v>
      </c>
      <c r="D13">
        <f>B13/1000</f>
        <v>0.000254</v>
      </c>
      <c r="E13" t="s">
        <v>61</v>
      </c>
      <c r="F13" t="s">
        <v>64</v>
      </c>
      <c r="G13" s="76">
        <f>(B19+B20+B21)/B22</f>
        <v>0.0627</v>
      </c>
      <c r="H13" s="76" t="s">
        <v>65</v>
      </c>
      <c r="J13">
        <f aca="true" t="shared" si="0" ref="J13:J32">J12+0.2</f>
        <v>190.2</v>
      </c>
      <c r="L13" s="3"/>
      <c r="M13">
        <f aca="true" t="shared" si="1" ref="M13:M32">J13*(1-COS($L$7/J13))</f>
        <v>6.534269015318565</v>
      </c>
      <c r="R13" s="1"/>
    </row>
    <row r="14" spans="1:13" ht="12">
      <c r="A14" t="s">
        <v>51</v>
      </c>
      <c r="B14" s="3">
        <v>5</v>
      </c>
      <c r="C14" s="3" t="s">
        <v>57</v>
      </c>
      <c r="D14">
        <f>B14/100</f>
        <v>0.05</v>
      </c>
      <c r="E14" t="s">
        <v>61</v>
      </c>
      <c r="F14" t="s">
        <v>59</v>
      </c>
      <c r="G14" s="76">
        <f>B19/B22</f>
        <v>0.0627</v>
      </c>
      <c r="H14" s="76" t="s">
        <v>65</v>
      </c>
      <c r="J14">
        <f t="shared" si="0"/>
        <v>190.39999999999998</v>
      </c>
      <c r="L14" s="3"/>
      <c r="M14">
        <f t="shared" si="1"/>
        <v>6.527484309004384</v>
      </c>
    </row>
    <row r="15" spans="1:13" ht="12">
      <c r="A15" t="s">
        <v>52</v>
      </c>
      <c r="B15" s="3">
        <v>2.6</v>
      </c>
      <c r="C15" s="3" t="s">
        <v>57</v>
      </c>
      <c r="D15">
        <f>B15/100</f>
        <v>0.026000000000000002</v>
      </c>
      <c r="E15" t="s">
        <v>61</v>
      </c>
      <c r="F15" t="s">
        <v>54</v>
      </c>
      <c r="G15" s="53">
        <f>G13*9.81</f>
        <v>0.615087</v>
      </c>
      <c r="J15">
        <f t="shared" si="0"/>
        <v>190.59999999999997</v>
      </c>
      <c r="L15" s="76"/>
      <c r="M15">
        <f t="shared" si="1"/>
        <v>6.520713593714005</v>
      </c>
    </row>
    <row r="16" spans="2:13" ht="12">
      <c r="B16" s="3"/>
      <c r="C16" s="3"/>
      <c r="F16" t="s">
        <v>56</v>
      </c>
      <c r="G16" s="54">
        <f>D15*D13^3/12</f>
        <v>3.550530533333333E-14</v>
      </c>
      <c r="J16">
        <f t="shared" si="0"/>
        <v>190.79999999999995</v>
      </c>
      <c r="L16" s="76"/>
      <c r="M16">
        <f t="shared" si="1"/>
        <v>6.513956826483104</v>
      </c>
    </row>
    <row r="17" spans="1:13" ht="12">
      <c r="A17" t="s">
        <v>80</v>
      </c>
      <c r="B17" s="3">
        <v>0.124</v>
      </c>
      <c r="C17" s="3" t="s">
        <v>65</v>
      </c>
      <c r="J17">
        <f t="shared" si="0"/>
        <v>190.99999999999994</v>
      </c>
      <c r="L17" s="76"/>
      <c r="M17">
        <f t="shared" si="1"/>
        <v>6.507213964521866</v>
      </c>
    </row>
    <row r="18" spans="1:13" ht="12.75" thickBot="1">
      <c r="A18" t="s">
        <v>84</v>
      </c>
      <c r="B18" s="3">
        <f>2*0.0007</f>
        <v>0.0014</v>
      </c>
      <c r="C18" s="3" t="s">
        <v>65</v>
      </c>
      <c r="J18">
        <f t="shared" si="0"/>
        <v>191.19999999999993</v>
      </c>
      <c r="M18">
        <f t="shared" si="1"/>
        <v>6.500484965214231</v>
      </c>
    </row>
    <row r="19" spans="1:15" ht="12">
      <c r="A19" t="s">
        <v>85</v>
      </c>
      <c r="B19">
        <f>B18+B17</f>
        <v>0.1254</v>
      </c>
      <c r="C19" t="s">
        <v>65</v>
      </c>
      <c r="F19" s="25" t="s">
        <v>63</v>
      </c>
      <c r="G19" s="75">
        <f>B25*G15*(D14^3)/(3*B24*G16)*1000</f>
        <v>8.265174328537128</v>
      </c>
      <c r="H19" s="29" t="s">
        <v>108</v>
      </c>
      <c r="I19" s="2"/>
      <c r="J19">
        <f t="shared" si="0"/>
        <v>191.39999999999992</v>
      </c>
      <c r="M19">
        <f t="shared" si="1"/>
        <v>6.493769786116973</v>
      </c>
      <c r="O19" s="2"/>
    </row>
    <row r="20" spans="1:13" ht="12">
      <c r="A20" t="s">
        <v>81</v>
      </c>
      <c r="B20" s="3">
        <v>0</v>
      </c>
      <c r="C20" s="3" t="s">
        <v>65</v>
      </c>
      <c r="F20" s="35"/>
      <c r="G20" s="10"/>
      <c r="H20" s="20"/>
      <c r="J20">
        <f t="shared" si="0"/>
        <v>191.5999999999999</v>
      </c>
      <c r="M20">
        <f t="shared" si="1"/>
        <v>6.487068384958788</v>
      </c>
    </row>
    <row r="21" spans="1:13" ht="12">
      <c r="A21" t="s">
        <v>82</v>
      </c>
      <c r="B21" s="3">
        <v>0</v>
      </c>
      <c r="C21" s="3" t="s">
        <v>65</v>
      </c>
      <c r="F21" s="35" t="s">
        <v>58</v>
      </c>
      <c r="G21" s="69">
        <f>1/(2*PI())*((B24*D15*D13^3)/(4*G14*D14^3*B25))^0.5</f>
        <v>5.483131054763758</v>
      </c>
      <c r="H21" s="28" t="s">
        <v>60</v>
      </c>
      <c r="J21" s="4">
        <f t="shared" si="0"/>
        <v>191.7999999999999</v>
      </c>
      <c r="K21" s="4"/>
      <c r="L21" s="4"/>
      <c r="M21" s="4">
        <f t="shared" si="1"/>
        <v>6.480380719639501</v>
      </c>
    </row>
    <row r="22" spans="1:18" ht="12">
      <c r="A22" t="s">
        <v>83</v>
      </c>
      <c r="B22" s="3">
        <v>2</v>
      </c>
      <c r="C22" s="3"/>
      <c r="F22" s="35"/>
      <c r="G22" s="10"/>
      <c r="H22" s="28"/>
      <c r="J22">
        <f t="shared" si="0"/>
        <v>191.9999999999999</v>
      </c>
      <c r="M22">
        <f t="shared" si="1"/>
        <v>6.473706748229144</v>
      </c>
      <c r="P22" s="2"/>
      <c r="Q22" s="2"/>
      <c r="R22" s="2"/>
    </row>
    <row r="23" spans="6:16" ht="12">
      <c r="F23" s="35" t="s">
        <v>66</v>
      </c>
      <c r="G23" s="44">
        <f>(6*G15*D14)/(D15*D13^2)/1000000</f>
        <v>110.00616424309774</v>
      </c>
      <c r="H23" s="28" t="s">
        <v>62</v>
      </c>
      <c r="J23">
        <f t="shared" si="0"/>
        <v>192.19999999999987</v>
      </c>
      <c r="K23" s="71"/>
      <c r="L23" s="71"/>
      <c r="M23" s="71">
        <f t="shared" si="1"/>
        <v>6.467046428967158</v>
      </c>
      <c r="O23" s="10"/>
      <c r="P23" s="71"/>
    </row>
    <row r="24" spans="1:16" ht="12">
      <c r="A24" t="s">
        <v>55</v>
      </c>
      <c r="B24" s="1">
        <v>131000000000</v>
      </c>
      <c r="C24" s="3" t="s">
        <v>49</v>
      </c>
      <c r="F24" s="9"/>
      <c r="G24" s="10" t="str">
        <f>IF(G23&gt;G25,"**BAD!**","Good")</f>
        <v>Good</v>
      </c>
      <c r="H24" s="30"/>
      <c r="I24" s="4"/>
      <c r="J24">
        <f t="shared" si="0"/>
        <v>192.39999999999986</v>
      </c>
      <c r="K24" s="70"/>
      <c r="L24" s="70"/>
      <c r="M24" s="83">
        <f t="shared" si="1"/>
        <v>6.46039972026153</v>
      </c>
      <c r="O24" s="10"/>
      <c r="P24" s="71"/>
    </row>
    <row r="25" spans="1:15" ht="12.75" thickBot="1">
      <c r="A25" t="s">
        <v>53</v>
      </c>
      <c r="B25" s="3">
        <v>1.5</v>
      </c>
      <c r="C25" s="4" t="s">
        <v>36</v>
      </c>
      <c r="F25" s="31" t="s">
        <v>86</v>
      </c>
      <c r="G25" s="32">
        <v>400</v>
      </c>
      <c r="H25" s="15" t="s">
        <v>49</v>
      </c>
      <c r="J25">
        <f t="shared" si="0"/>
        <v>192.59999999999985</v>
      </c>
      <c r="M25">
        <f t="shared" si="1"/>
        <v>6.453766580687883</v>
      </c>
      <c r="O25" s="10"/>
    </row>
    <row r="26" spans="10:20" ht="12.75" thickBot="1">
      <c r="J26">
        <f t="shared" si="0"/>
        <v>192.79999999999984</v>
      </c>
      <c r="M26">
        <f t="shared" si="1"/>
        <v>6.447146968988739</v>
      </c>
      <c r="O26" s="10"/>
      <c r="P26" s="10"/>
      <c r="Q26" s="10"/>
      <c r="R26" s="10"/>
      <c r="S26" s="10"/>
      <c r="T26" s="10"/>
    </row>
    <row r="27" spans="1:20" ht="12">
      <c r="A27" t="s">
        <v>38</v>
      </c>
      <c r="B27">
        <f>(B14*10/J53)*180/PI()</f>
        <v>14.858863981608485</v>
      </c>
      <c r="D27" s="25" t="s">
        <v>1</v>
      </c>
      <c r="E27" s="7"/>
      <c r="F27" s="7"/>
      <c r="G27" s="7"/>
      <c r="H27" s="8"/>
      <c r="J27">
        <f t="shared" si="0"/>
        <v>192.99999999999983</v>
      </c>
      <c r="M27">
        <f t="shared" si="1"/>
        <v>6.440540844072647</v>
      </c>
      <c r="O27" s="10"/>
      <c r="P27" s="10"/>
      <c r="Q27" s="10"/>
      <c r="R27" s="10"/>
      <c r="S27" s="10"/>
      <c r="T27" s="10"/>
    </row>
    <row r="28" spans="1:20" ht="12">
      <c r="A28" t="s">
        <v>39</v>
      </c>
      <c r="B28">
        <f>SQRT(J21^2-(J21-G19*10)^2)+2</f>
        <v>159.71460952035324</v>
      </c>
      <c r="D28" s="9" t="s">
        <v>67</v>
      </c>
      <c r="E28" s="10"/>
      <c r="F28" s="10">
        <v>0.37</v>
      </c>
      <c r="G28" s="10"/>
      <c r="H28" s="11"/>
      <c r="J28">
        <f t="shared" si="0"/>
        <v>193.19999999999982</v>
      </c>
      <c r="M28">
        <f t="shared" si="1"/>
        <v>6.433948165013314</v>
      </c>
      <c r="P28" s="10"/>
      <c r="Q28" s="10"/>
      <c r="R28" s="10"/>
      <c r="S28" s="10"/>
      <c r="T28" s="10"/>
    </row>
    <row r="29" spans="1:20" ht="12">
      <c r="A29" t="s">
        <v>41</v>
      </c>
      <c r="B29">
        <f>B14*10+2-B28</f>
        <v>-107.71460952035324</v>
      </c>
      <c r="C29" s="1"/>
      <c r="D29" s="9" t="s">
        <v>50</v>
      </c>
      <c r="E29" s="10"/>
      <c r="F29" s="10">
        <v>0.002</v>
      </c>
      <c r="G29" s="44">
        <f>D13/F29*(F28/D14)^2*F30</f>
        <v>382.49859999999995</v>
      </c>
      <c r="H29" s="28" t="s">
        <v>60</v>
      </c>
      <c r="J29">
        <f t="shared" si="0"/>
        <v>193.3999999999998</v>
      </c>
      <c r="M29">
        <f t="shared" si="1"/>
        <v>6.4273688910488405</v>
      </c>
      <c r="P29" s="10"/>
      <c r="Q29" s="10"/>
      <c r="R29" s="10"/>
      <c r="S29" s="12"/>
      <c r="T29" s="10"/>
    </row>
    <row r="30" spans="1:20" ht="12.75" thickBot="1">
      <c r="A30">
        <v>0.7</v>
      </c>
      <c r="C30" s="3"/>
      <c r="D30" s="13" t="s">
        <v>68</v>
      </c>
      <c r="E30" s="14"/>
      <c r="F30" s="14">
        <v>55</v>
      </c>
      <c r="G30" s="14"/>
      <c r="H30" s="15"/>
      <c r="J30">
        <f t="shared" si="0"/>
        <v>193.5999999999998</v>
      </c>
      <c r="M30">
        <f t="shared" si="1"/>
        <v>6.42080298158085</v>
      </c>
      <c r="P30" s="10"/>
      <c r="Q30" s="10"/>
      <c r="R30" s="10"/>
      <c r="S30" s="10"/>
      <c r="T30" s="10"/>
    </row>
    <row r="31" spans="10:13" ht="12">
      <c r="J31">
        <f t="shared" si="0"/>
        <v>193.79999999999978</v>
      </c>
      <c r="M31">
        <f t="shared" si="1"/>
        <v>6.414250396173715</v>
      </c>
    </row>
    <row r="32" spans="10:13" ht="12">
      <c r="J32">
        <f t="shared" si="0"/>
        <v>193.99999999999977</v>
      </c>
      <c r="M32">
        <f t="shared" si="1"/>
        <v>6.407711094553765</v>
      </c>
    </row>
    <row r="34" spans="1:13" ht="12">
      <c r="A34" t="s">
        <v>2</v>
      </c>
      <c r="J34">
        <v>600</v>
      </c>
      <c r="M34">
        <f aca="true" t="shared" si="2" ref="M34:M51">J34*(1-COS($B$37*10/J34))</f>
        <v>4.078703875535994</v>
      </c>
    </row>
    <row r="35" spans="10:13" ht="12">
      <c r="J35">
        <f aca="true" t="shared" si="3" ref="J35:J51">J34+2</f>
        <v>602</v>
      </c>
      <c r="M35">
        <f t="shared" si="2"/>
        <v>4.065183957922491</v>
      </c>
    </row>
    <row r="36" spans="1:13" ht="12">
      <c r="A36" t="s">
        <v>50</v>
      </c>
      <c r="B36" s="3">
        <v>0.5</v>
      </c>
      <c r="C36" s="3" t="s">
        <v>108</v>
      </c>
      <c r="D36">
        <f>B36/1000</f>
        <v>0.0005</v>
      </c>
      <c r="E36" t="s">
        <v>61</v>
      </c>
      <c r="F36" t="s">
        <v>64</v>
      </c>
      <c r="G36" s="77">
        <f>B40/B42+B41</f>
        <v>0.0634</v>
      </c>
      <c r="H36" s="76" t="s">
        <v>65</v>
      </c>
      <c r="I36" s="2"/>
      <c r="J36">
        <f t="shared" si="3"/>
        <v>604</v>
      </c>
      <c r="M36">
        <f t="shared" si="2"/>
        <v>4.051753273966258</v>
      </c>
    </row>
    <row r="37" spans="1:13" ht="12">
      <c r="A37" t="s">
        <v>51</v>
      </c>
      <c r="B37" s="3">
        <v>7</v>
      </c>
      <c r="C37" s="3" t="s">
        <v>57</v>
      </c>
      <c r="D37">
        <f>B37/100</f>
        <v>0.07</v>
      </c>
      <c r="E37" t="s">
        <v>61</v>
      </c>
      <c r="F37" t="s">
        <v>59</v>
      </c>
      <c r="G37" s="76">
        <f>B40/B42+B41</f>
        <v>0.0634</v>
      </c>
      <c r="H37" s="76" t="s">
        <v>65</v>
      </c>
      <c r="J37">
        <f t="shared" si="3"/>
        <v>606</v>
      </c>
      <c r="M37">
        <f t="shared" si="2"/>
        <v>4.0384109441327825</v>
      </c>
    </row>
    <row r="38" spans="1:13" ht="12">
      <c r="A38" t="s">
        <v>52</v>
      </c>
      <c r="B38" s="3">
        <v>2</v>
      </c>
      <c r="C38" s="3" t="s">
        <v>57</v>
      </c>
      <c r="D38">
        <f>B38/100</f>
        <v>0.02</v>
      </c>
      <c r="E38" t="s">
        <v>61</v>
      </c>
      <c r="F38" t="s">
        <v>54</v>
      </c>
      <c r="G38" s="53">
        <f>G36*9.81</f>
        <v>0.621954</v>
      </c>
      <c r="J38">
        <f t="shared" si="3"/>
        <v>608</v>
      </c>
      <c r="M38">
        <f t="shared" si="2"/>
        <v>4.025156100395392</v>
      </c>
    </row>
    <row r="39" spans="2:13" ht="12">
      <c r="B39" s="3"/>
      <c r="C39" s="3"/>
      <c r="F39" t="s">
        <v>56</v>
      </c>
      <c r="G39" s="55">
        <f>D38*D36^3/12</f>
        <v>2.0833333333333335E-13</v>
      </c>
      <c r="J39">
        <f t="shared" si="3"/>
        <v>610</v>
      </c>
      <c r="K39" s="71"/>
      <c r="L39" s="71"/>
      <c r="M39">
        <f t="shared" si="2"/>
        <v>4.011987886048126</v>
      </c>
    </row>
    <row r="40" spans="1:13" ht="12.75" thickBot="1">
      <c r="A40" t="s">
        <v>81</v>
      </c>
      <c r="B40" s="3">
        <v>0.124</v>
      </c>
      <c r="C40" s="3" t="s">
        <v>65</v>
      </c>
      <c r="J40">
        <f t="shared" si="3"/>
        <v>612</v>
      </c>
      <c r="M40">
        <f t="shared" si="2"/>
        <v>3.998905455521817</v>
      </c>
    </row>
    <row r="41" spans="1:13" ht="12">
      <c r="A41" t="s">
        <v>82</v>
      </c>
      <c r="B41" s="3">
        <f>2*0.0007</f>
        <v>0.0014</v>
      </c>
      <c r="C41" s="3" t="s">
        <v>65</v>
      </c>
      <c r="F41" s="6" t="s">
        <v>63</v>
      </c>
      <c r="G41" s="75">
        <f>B44*G38*(D37^3)/(3*B43*G39)*1000</f>
        <v>3.908339945038169</v>
      </c>
      <c r="H41" s="29" t="s">
        <v>108</v>
      </c>
      <c r="J41">
        <f t="shared" si="3"/>
        <v>614</v>
      </c>
      <c r="M41">
        <f t="shared" si="2"/>
        <v>3.9859079742038634</v>
      </c>
    </row>
    <row r="42" spans="1:13" ht="12">
      <c r="A42" t="s">
        <v>83</v>
      </c>
      <c r="B42" s="3">
        <v>2</v>
      </c>
      <c r="C42" s="3"/>
      <c r="F42" s="9"/>
      <c r="G42" s="10"/>
      <c r="H42" s="11"/>
      <c r="J42">
        <f t="shared" si="3"/>
        <v>616</v>
      </c>
      <c r="M42">
        <f t="shared" si="2"/>
        <v>3.9729946182618585</v>
      </c>
    </row>
    <row r="43" spans="1:13" ht="12">
      <c r="A43" t="s">
        <v>55</v>
      </c>
      <c r="B43" s="34">
        <v>131000000000</v>
      </c>
      <c r="F43" s="9" t="s">
        <v>58</v>
      </c>
      <c r="G43" s="64">
        <f>1/(2*PI())*((B43*D38*D36^3)/(4*G37*D37^3*B44))^0.5</f>
        <v>7.973673887872176</v>
      </c>
      <c r="H43" s="28" t="s">
        <v>60</v>
      </c>
      <c r="J43">
        <f t="shared" si="3"/>
        <v>618</v>
      </c>
      <c r="M43">
        <f t="shared" si="2"/>
        <v>3.9601645744697316</v>
      </c>
    </row>
    <row r="44" spans="1:13" ht="12">
      <c r="A44" t="s">
        <v>53</v>
      </c>
      <c r="B44" s="3">
        <v>1.5</v>
      </c>
      <c r="C44" t="s">
        <v>36</v>
      </c>
      <c r="F44" s="9"/>
      <c r="G44" s="10"/>
      <c r="H44" s="11"/>
      <c r="J44">
        <f t="shared" si="3"/>
        <v>620</v>
      </c>
      <c r="M44">
        <f t="shared" si="2"/>
        <v>3.9474170400382502</v>
      </c>
    </row>
    <row r="45" spans="6:13" ht="12">
      <c r="F45" s="9" t="s">
        <v>66</v>
      </c>
      <c r="G45" s="44">
        <f>(6*G38*D37)/(D38*D36^2)/1000000</f>
        <v>52.244136000000005</v>
      </c>
      <c r="H45" s="28" t="s">
        <v>62</v>
      </c>
      <c r="J45">
        <f t="shared" si="3"/>
        <v>622</v>
      </c>
      <c r="M45">
        <f t="shared" si="2"/>
        <v>3.9347512224483716</v>
      </c>
    </row>
    <row r="46" spans="2:13" ht="12.75" thickBot="1">
      <c r="B46" t="s">
        <v>48</v>
      </c>
      <c r="F46" s="13"/>
      <c r="G46" s="14" t="str">
        <f>IF($G$45&gt;$G$25,"**BAD!**","Good")</f>
        <v>Good</v>
      </c>
      <c r="H46" s="15"/>
      <c r="J46">
        <f t="shared" si="3"/>
        <v>624</v>
      </c>
      <c r="M46">
        <f t="shared" si="2"/>
        <v>3.9221663392872</v>
      </c>
    </row>
    <row r="47" spans="1:13" ht="12">
      <c r="A47" t="s">
        <v>38</v>
      </c>
      <c r="B47">
        <f>(B37*10/J54)*180/PI()</f>
        <v>6.406876303379812</v>
      </c>
      <c r="J47" s="4">
        <f t="shared" si="3"/>
        <v>626</v>
      </c>
      <c r="K47" s="4"/>
      <c r="L47" s="4"/>
      <c r="M47" s="4">
        <f t="shared" si="2"/>
        <v>3.9096616180880233</v>
      </c>
    </row>
    <row r="48" spans="1:13" ht="12.75" thickBot="1">
      <c r="A48" t="s">
        <v>39</v>
      </c>
      <c r="B48">
        <f>SQRT(J54^2-(J54-G41*10)^2)+2</f>
        <v>219.72667268683395</v>
      </c>
      <c r="J48">
        <f t="shared" si="3"/>
        <v>628</v>
      </c>
      <c r="M48">
        <f t="shared" si="2"/>
        <v>3.89723629617293</v>
      </c>
    </row>
    <row r="49" spans="1:13" ht="12">
      <c r="A49" t="s">
        <v>40</v>
      </c>
      <c r="B49">
        <f>B37*10+2-B48</f>
        <v>-147.72667268683395</v>
      </c>
      <c r="C49" s="1"/>
      <c r="D49" s="25" t="s">
        <v>42</v>
      </c>
      <c r="E49" s="7"/>
      <c r="F49" s="7"/>
      <c r="G49" s="7"/>
      <c r="H49" s="8"/>
      <c r="J49">
        <f t="shared" si="3"/>
        <v>630</v>
      </c>
      <c r="M49">
        <f t="shared" si="2"/>
        <v>3.884889620498063</v>
      </c>
    </row>
    <row r="50" spans="3:13" ht="12">
      <c r="C50" s="3"/>
      <c r="D50" s="9" t="s">
        <v>67</v>
      </c>
      <c r="E50" s="10"/>
      <c r="F50" s="10">
        <v>0.37</v>
      </c>
      <c r="G50" s="10"/>
      <c r="H50" s="11"/>
      <c r="J50">
        <f t="shared" si="3"/>
        <v>632</v>
      </c>
      <c r="M50">
        <f t="shared" si="2"/>
        <v>3.87262084750261</v>
      </c>
    </row>
    <row r="51" spans="2:13" ht="12">
      <c r="B51" s="3"/>
      <c r="C51" s="3"/>
      <c r="D51" s="9" t="s">
        <v>50</v>
      </c>
      <c r="E51" s="10"/>
      <c r="F51" s="10">
        <v>0.002</v>
      </c>
      <c r="G51" s="44">
        <f>D36/F51*(F50/D37)^2*F52</f>
        <v>384.15816326530614</v>
      </c>
      <c r="H51" s="28" t="s">
        <v>60</v>
      </c>
      <c r="I51" s="10"/>
      <c r="J51">
        <f t="shared" si="3"/>
        <v>634</v>
      </c>
      <c r="M51">
        <f t="shared" si="2"/>
        <v>3.8604292429596176</v>
      </c>
    </row>
    <row r="52" spans="4:8" ht="12.75" thickBot="1">
      <c r="D52" s="13" t="s">
        <v>68</v>
      </c>
      <c r="E52" s="14"/>
      <c r="F52" s="14">
        <v>55</v>
      </c>
      <c r="G52" s="14"/>
      <c r="H52" s="15"/>
    </row>
    <row r="53" spans="4:13" ht="12">
      <c r="D53" s="10"/>
      <c r="E53" s="10"/>
      <c r="F53" s="10"/>
      <c r="G53" s="10"/>
      <c r="H53" s="10"/>
      <c r="I53" t="s">
        <v>46</v>
      </c>
      <c r="J53">
        <v>192.8</v>
      </c>
      <c r="M53">
        <f>J53*(1-COS($L$7/J53))</f>
        <v>6.447146968988745</v>
      </c>
    </row>
    <row r="54" spans="4:13" ht="12">
      <c r="D54" s="10"/>
      <c r="E54" s="10"/>
      <c r="F54" s="10"/>
      <c r="G54" s="10"/>
      <c r="H54" s="10"/>
      <c r="I54" t="s">
        <v>37</v>
      </c>
      <c r="J54" s="74">
        <v>626</v>
      </c>
      <c r="K54" s="74"/>
      <c r="L54" s="74"/>
      <c r="M54" s="74">
        <f>J54*(1-COS($B$37*10/J54))</f>
        <v>3.9096616180880233</v>
      </c>
    </row>
    <row r="55" spans="4:13" ht="12">
      <c r="D55" s="10"/>
      <c r="E55" s="10"/>
      <c r="F55" s="10"/>
      <c r="G55" s="10"/>
      <c r="H55" s="10"/>
      <c r="J55">
        <v>138.3</v>
      </c>
      <c r="M55">
        <f>J55*(1-COS($L$7/J55))</f>
        <v>8.94030346490971</v>
      </c>
    </row>
    <row r="56" spans="4:13" ht="12">
      <c r="D56" s="10"/>
      <c r="E56" s="10"/>
      <c r="F56" s="10"/>
      <c r="G56" s="10"/>
      <c r="H56" s="10"/>
      <c r="J56">
        <v>138.1</v>
      </c>
      <c r="M56">
        <f>J56*(1-COS($L$7/J56))</f>
        <v>8.95296776256143</v>
      </c>
    </row>
    <row r="58" ht="12">
      <c r="F58" t="s">
        <v>17</v>
      </c>
    </row>
    <row r="59" ht="12">
      <c r="H59" t="s">
        <v>13</v>
      </c>
    </row>
    <row r="60" spans="1:6" ht="12">
      <c r="A60" s="16" t="s">
        <v>102</v>
      </c>
      <c r="E60" t="s">
        <v>15</v>
      </c>
      <c r="F60" t="s">
        <v>16</v>
      </c>
    </row>
    <row r="61" ht="12">
      <c r="G61" t="s">
        <v>14</v>
      </c>
    </row>
    <row r="62" ht="12">
      <c r="F62" s="2"/>
    </row>
    <row r="63" spans="1:8" ht="12">
      <c r="A63" t="s">
        <v>106</v>
      </c>
      <c r="B63" s="3">
        <v>75</v>
      </c>
      <c r="C63" s="3" t="s">
        <v>108</v>
      </c>
      <c r="D63">
        <f>B63/1000</f>
        <v>0.075</v>
      </c>
      <c r="E63" s="10"/>
      <c r="F63" s="10" t="s">
        <v>98</v>
      </c>
      <c r="G63" s="50">
        <f>B66*PI()*D63^2*D64</f>
        <v>2.9184414004144927</v>
      </c>
      <c r="H63" t="s">
        <v>65</v>
      </c>
    </row>
    <row r="64" spans="1:7" ht="12">
      <c r="A64" t="s">
        <v>50</v>
      </c>
      <c r="B64" s="3">
        <v>75</v>
      </c>
      <c r="C64" s="3" t="s">
        <v>108</v>
      </c>
      <c r="D64">
        <f>B64/1000</f>
        <v>0.075</v>
      </c>
      <c r="E64" s="10"/>
      <c r="F64" s="10" t="s">
        <v>99</v>
      </c>
      <c r="G64" s="49">
        <f>G63*D63^2/2</f>
        <v>0.008208116438665761</v>
      </c>
    </row>
    <row r="65" spans="1:7" ht="12">
      <c r="A65" t="s">
        <v>105</v>
      </c>
      <c r="B65" s="3">
        <v>50</v>
      </c>
      <c r="C65" s="3" t="s">
        <v>108</v>
      </c>
      <c r="D65">
        <f>B65/1000</f>
        <v>0.05</v>
      </c>
      <c r="E65" s="10"/>
      <c r="F65" s="10" t="s">
        <v>100</v>
      </c>
      <c r="G65" s="49">
        <f>G63*(D63^2/4+D64^2/12)</f>
        <v>0.005472077625777174</v>
      </c>
    </row>
    <row r="66" spans="1:7" ht="12">
      <c r="A66" t="s">
        <v>5</v>
      </c>
      <c r="B66" s="3">
        <v>2202</v>
      </c>
      <c r="C66" s="27"/>
      <c r="F66" s="10" t="s">
        <v>101</v>
      </c>
      <c r="G66" s="49">
        <f>G65</f>
        <v>0.005472077625777174</v>
      </c>
    </row>
    <row r="68" spans="1:3" ht="12.75" thickBot="1">
      <c r="A68" t="s">
        <v>6</v>
      </c>
      <c r="B68">
        <f>D65/2</f>
        <v>0.025</v>
      </c>
      <c r="C68" t="s">
        <v>61</v>
      </c>
    </row>
    <row r="69" spans="1:8" ht="12">
      <c r="A69" t="s">
        <v>107</v>
      </c>
      <c r="B69" s="51">
        <f>(D63^2-B68^2)^0.5</f>
        <v>0.07071067811865475</v>
      </c>
      <c r="C69" t="s">
        <v>61</v>
      </c>
      <c r="E69" s="25" t="s">
        <v>112</v>
      </c>
      <c r="F69" s="45">
        <f>1000*(D63-B69)</f>
        <v>4.289321881345246</v>
      </c>
      <c r="G69" s="29" t="s">
        <v>108</v>
      </c>
      <c r="H69" s="12"/>
    </row>
    <row r="70" spans="1:7" ht="12.75" thickBot="1">
      <c r="A70" t="s">
        <v>109</v>
      </c>
      <c r="B70" s="78">
        <f>ASIN(B68/D63)*180/PI()</f>
        <v>19.471220634490695</v>
      </c>
      <c r="E70" s="46" t="s">
        <v>23</v>
      </c>
      <c r="F70" s="47">
        <f>((2*B70*PI()*D63^2)/360-(B69*B68))*B66*1000*D64</f>
        <v>23.75115669706305</v>
      </c>
      <c r="G70" s="33" t="s">
        <v>110</v>
      </c>
    </row>
    <row r="72" ht="12">
      <c r="A72" s="4" t="s">
        <v>18</v>
      </c>
    </row>
    <row r="73" spans="1:5" ht="12">
      <c r="A73" s="4"/>
      <c r="D73" t="s">
        <v>99</v>
      </c>
      <c r="E73" s="79">
        <f>(B75/1000)*(D64^2+D65^2)/12</f>
        <v>1.62139453125E-05</v>
      </c>
    </row>
    <row r="74" spans="1:8" ht="12">
      <c r="A74" s="3" t="s">
        <v>113</v>
      </c>
      <c r="B74" s="3">
        <v>0.0029</v>
      </c>
      <c r="D74" t="s">
        <v>100</v>
      </c>
      <c r="E74">
        <f>(1/12*(B75/1000)*(B74^2+D65^2))+((B75/1000)*B76^2)</f>
        <v>0.00013454808759750001</v>
      </c>
      <c r="F74" s="61" t="s">
        <v>21</v>
      </c>
      <c r="G74" s="62" t="s">
        <v>22</v>
      </c>
      <c r="H74" s="12"/>
    </row>
    <row r="75" spans="1:7" ht="12">
      <c r="A75" s="60" t="s">
        <v>111</v>
      </c>
      <c r="B75" s="60">
        <f>B66*D65*D64*B74*1000</f>
        <v>23.946749999999998</v>
      </c>
      <c r="C75" t="s">
        <v>110</v>
      </c>
      <c r="D75" t="s">
        <v>101</v>
      </c>
      <c r="E75">
        <f>(1/12*(B75/1000)*(B74^2+D64^2))+((B75/1000)*B76^2)</f>
        <v>0.00014078422041000004</v>
      </c>
      <c r="G75" s="60" t="s">
        <v>23</v>
      </c>
    </row>
    <row r="76" spans="1:3" ht="12">
      <c r="A76" t="s">
        <v>115</v>
      </c>
      <c r="B76">
        <f>D63-B74/2</f>
        <v>0.07355</v>
      </c>
      <c r="C76" t="s">
        <v>61</v>
      </c>
    </row>
    <row r="77" ht="12.75" thickBot="1"/>
    <row r="78" spans="1:7" ht="12">
      <c r="A78" s="4" t="s">
        <v>27</v>
      </c>
      <c r="E78" s="25" t="s">
        <v>98</v>
      </c>
      <c r="F78" s="65">
        <f>G63-2*(F70/1000)</f>
        <v>2.870939087020367</v>
      </c>
      <c r="G78" s="29" t="s">
        <v>65</v>
      </c>
    </row>
    <row r="79" spans="1:8" ht="12">
      <c r="A79" s="4" t="s">
        <v>20</v>
      </c>
      <c r="E79" s="35" t="s">
        <v>99</v>
      </c>
      <c r="F79" s="42">
        <f>G64-2*E73</f>
        <v>0.00817568854804076</v>
      </c>
      <c r="G79" s="28"/>
      <c r="H79" s="12"/>
    </row>
    <row r="80" spans="5:7" ht="12">
      <c r="E80" s="35" t="s">
        <v>100</v>
      </c>
      <c r="F80" s="41">
        <f>G65-2*E74</f>
        <v>0.005202981450582174</v>
      </c>
      <c r="G80" s="11"/>
    </row>
    <row r="81" spans="5:7" ht="12.75" thickBot="1">
      <c r="E81" s="46" t="s">
        <v>101</v>
      </c>
      <c r="F81" s="56">
        <f>G66-2*E75</f>
        <v>0.005190509184957174</v>
      </c>
      <c r="G81" s="33"/>
    </row>
    <row r="82" spans="5:7" ht="12">
      <c r="E82" s="12"/>
      <c r="F82" s="41"/>
      <c r="G82" s="12"/>
    </row>
    <row r="83" spans="5:7" ht="12">
      <c r="E83" s="12"/>
      <c r="F83" s="41"/>
      <c r="G83" s="12"/>
    </row>
    <row r="84" spans="5:8" ht="12">
      <c r="E84" s="12"/>
      <c r="F84" s="10" t="s">
        <v>98</v>
      </c>
      <c r="G84" s="50">
        <f>G63</f>
        <v>2.9184414004144927</v>
      </c>
      <c r="H84" t="s">
        <v>65</v>
      </c>
    </row>
    <row r="85" spans="5:7" ht="12">
      <c r="E85" s="12"/>
      <c r="F85" s="10" t="s">
        <v>99</v>
      </c>
      <c r="G85" s="49">
        <f>G64</f>
        <v>0.008208116438665761</v>
      </c>
    </row>
    <row r="86" spans="5:7" ht="12">
      <c r="E86" s="12"/>
      <c r="F86" s="10" t="s">
        <v>100</v>
      </c>
      <c r="G86" s="49">
        <f>G65</f>
        <v>0.005472077625777174</v>
      </c>
    </row>
    <row r="87" spans="5:7" ht="12">
      <c r="E87" s="12"/>
      <c r="F87" s="10" t="s">
        <v>101</v>
      </c>
      <c r="G87" s="49">
        <f>G66</f>
        <v>0.005472077625777174</v>
      </c>
    </row>
    <row r="88" spans="1:7" ht="12">
      <c r="A88" s="16" t="s">
        <v>8</v>
      </c>
      <c r="B88" s="16" t="s">
        <v>94</v>
      </c>
      <c r="E88" s="12"/>
      <c r="F88" s="41"/>
      <c r="G88" s="12"/>
    </row>
    <row r="89" spans="1:8" ht="12">
      <c r="A89" s="10" t="s">
        <v>9</v>
      </c>
      <c r="B89" s="3">
        <v>75</v>
      </c>
      <c r="C89" s="21" t="s">
        <v>108</v>
      </c>
      <c r="D89" s="80">
        <f>B89/1000</f>
        <v>0.075</v>
      </c>
      <c r="E89" s="48"/>
      <c r="F89" s="10" t="s">
        <v>98</v>
      </c>
      <c r="G89" s="10">
        <f>B93*PI()*D89^2*D91-B93*PI()*D90^2*D91</f>
        <v>2.9270297293312444</v>
      </c>
      <c r="H89" s="10" t="s">
        <v>65</v>
      </c>
    </row>
    <row r="90" spans="1:8" ht="12">
      <c r="A90" t="s">
        <v>10</v>
      </c>
      <c r="B90" s="3">
        <v>32</v>
      </c>
      <c r="C90" s="21" t="s">
        <v>108</v>
      </c>
      <c r="D90" s="80">
        <f>B90/1000</f>
        <v>0.032</v>
      </c>
      <c r="E90" s="10"/>
      <c r="F90" s="10" t="s">
        <v>99</v>
      </c>
      <c r="G90" s="10">
        <f>B94*D89^2/2-B95*D90^2/2</f>
        <v>0.00973091033516172</v>
      </c>
      <c r="H90" s="10"/>
    </row>
    <row r="91" spans="1:8" ht="12">
      <c r="A91" s="10" t="s">
        <v>50</v>
      </c>
      <c r="B91" s="3">
        <v>75</v>
      </c>
      <c r="C91" s="21" t="s">
        <v>108</v>
      </c>
      <c r="D91" s="80">
        <f>B91/1000</f>
        <v>0.075</v>
      </c>
      <c r="E91" s="10"/>
      <c r="F91" s="10" t="s">
        <v>100</v>
      </c>
      <c r="G91" s="10">
        <f>B94*(D89^2/4+D91^2/12)-B95*(D90^2/4+D91^2/12)</f>
        <v>0.006237500353204881</v>
      </c>
      <c r="H91" s="10"/>
    </row>
    <row r="92" spans="1:7" ht="12">
      <c r="A92" t="s">
        <v>105</v>
      </c>
      <c r="B92" s="3">
        <v>50</v>
      </c>
      <c r="C92" s="21" t="s">
        <v>108</v>
      </c>
      <c r="D92" s="80">
        <f>B92/1000</f>
        <v>0.05</v>
      </c>
      <c r="E92" s="10"/>
      <c r="F92" s="10" t="s">
        <v>101</v>
      </c>
      <c r="G92" s="10">
        <f>G91</f>
        <v>0.006237500353204881</v>
      </c>
    </row>
    <row r="93" spans="1:10" ht="12">
      <c r="A93" s="10" t="s">
        <v>95</v>
      </c>
      <c r="B93" s="21">
        <v>2700</v>
      </c>
      <c r="C93" s="10"/>
      <c r="D93" s="10"/>
      <c r="E93" s="10"/>
      <c r="I93" s="10"/>
      <c r="J93" s="10"/>
    </row>
    <row r="94" spans="1:10" ht="12.75" thickBot="1">
      <c r="A94" t="s">
        <v>11</v>
      </c>
      <c r="B94" s="10">
        <f>B93*PI()*D89^2*D91</f>
        <v>3.5784703819796237</v>
      </c>
      <c r="C94" s="10" t="s">
        <v>65</v>
      </c>
      <c r="D94" s="10"/>
      <c r="E94" s="10"/>
      <c r="F94" s="12"/>
      <c r="G94" s="43"/>
      <c r="H94" s="12"/>
      <c r="I94" s="10">
        <v>2.92</v>
      </c>
      <c r="J94" s="10"/>
    </row>
    <row r="95" spans="1:10" ht="12">
      <c r="A95" t="s">
        <v>12</v>
      </c>
      <c r="B95" s="10">
        <f>B93*PI()*D90^2*D91</f>
        <v>0.6514406526483795</v>
      </c>
      <c r="C95" t="s">
        <v>65</v>
      </c>
      <c r="E95" s="25" t="s">
        <v>112</v>
      </c>
      <c r="F95" s="45">
        <f>1000*(D89-B98)</f>
        <v>4.289321881345246</v>
      </c>
      <c r="G95" s="29" t="s">
        <v>108</v>
      </c>
      <c r="I95" s="10">
        <v>2.92</v>
      </c>
      <c r="J95" s="10"/>
    </row>
    <row r="96" spans="1:10" ht="12.75" thickBot="1">
      <c r="A96" s="4" t="s">
        <v>18</v>
      </c>
      <c r="E96" s="46" t="s">
        <v>23</v>
      </c>
      <c r="F96" s="47">
        <f>((2*B99*PI()*D89^2)/360-(B98*B97))*B93*1000*D91</f>
        <v>29.122671699396108</v>
      </c>
      <c r="G96" s="33" t="s">
        <v>110</v>
      </c>
      <c r="I96" s="10">
        <f>I95+I94</f>
        <v>5.84</v>
      </c>
      <c r="J96" s="10"/>
    </row>
    <row r="97" spans="1:10" ht="12">
      <c r="A97" t="s">
        <v>6</v>
      </c>
      <c r="B97">
        <f>D92/2</f>
        <v>0.025</v>
      </c>
      <c r="C97" t="s">
        <v>61</v>
      </c>
      <c r="I97" s="10"/>
      <c r="J97" s="10"/>
    </row>
    <row r="98" spans="1:10" ht="12">
      <c r="A98" t="s">
        <v>107</v>
      </c>
      <c r="B98" s="51">
        <f>(D89^2-B97^2)^0.5</f>
        <v>0.07071067811865475</v>
      </c>
      <c r="C98" t="s">
        <v>61</v>
      </c>
      <c r="D98" t="s">
        <v>99</v>
      </c>
      <c r="E98" s="57">
        <f>(B101/1000)*(D91^2+D92^2)/12</f>
        <v>1.9880859375E-05</v>
      </c>
      <c r="I98" s="10"/>
      <c r="J98" s="10"/>
    </row>
    <row r="99" spans="1:10" ht="12">
      <c r="A99" t="s">
        <v>109</v>
      </c>
      <c r="B99" s="78">
        <f>ASIN(B97/D89)*180/PI()</f>
        <v>19.471220634490695</v>
      </c>
      <c r="D99" t="s">
        <v>100</v>
      </c>
      <c r="E99" s="57">
        <f>(1/12*(B101/1000)*(B100^2+D92^2))+((B101/1000)*B102^2)</f>
        <v>0.000164977219125</v>
      </c>
      <c r="I99" s="10"/>
      <c r="J99" s="10"/>
    </row>
    <row r="100" spans="1:10" ht="12">
      <c r="A100" s="3" t="s">
        <v>113</v>
      </c>
      <c r="B100" s="3">
        <v>0.0029</v>
      </c>
      <c r="D100" t="s">
        <v>101</v>
      </c>
      <c r="E100" s="57">
        <f>(1/12*(B101/1000)*(B100^2+D91^2))+((B101/1000)*B102^2)</f>
        <v>0.0001726237035</v>
      </c>
      <c r="F100" s="61" t="s">
        <v>21</v>
      </c>
      <c r="G100" s="62" t="s">
        <v>22</v>
      </c>
      <c r="H100" s="12"/>
      <c r="I100" s="10"/>
      <c r="J100" s="10"/>
    </row>
    <row r="101" spans="1:10" ht="12.75" thickBot="1">
      <c r="A101" s="60" t="s">
        <v>111</v>
      </c>
      <c r="B101" s="60">
        <f>D91*B93*D92*B100*1000</f>
        <v>29.3625</v>
      </c>
      <c r="C101" t="s">
        <v>110</v>
      </c>
      <c r="G101" s="60" t="s">
        <v>23</v>
      </c>
      <c r="I101" s="10"/>
      <c r="J101" s="10"/>
    </row>
    <row r="102" spans="1:10" ht="12">
      <c r="A102" t="s">
        <v>115</v>
      </c>
      <c r="B102">
        <f>D89-B100/2</f>
        <v>0.07355</v>
      </c>
      <c r="C102" t="s">
        <v>61</v>
      </c>
      <c r="E102" s="25" t="s">
        <v>98</v>
      </c>
      <c r="F102" s="66">
        <f>G89-2*(F96/1000)</f>
        <v>2.868784385932452</v>
      </c>
      <c r="G102" s="29" t="s">
        <v>65</v>
      </c>
      <c r="H102" s="53"/>
      <c r="I102" s="10"/>
      <c r="J102" s="10"/>
    </row>
    <row r="103" spans="5:10" ht="12">
      <c r="E103" s="35" t="s">
        <v>99</v>
      </c>
      <c r="F103" s="42">
        <f>G90-2*E98</f>
        <v>0.00969114861641172</v>
      </c>
      <c r="G103" s="28"/>
      <c r="I103" s="10"/>
      <c r="J103" s="10"/>
    </row>
    <row r="104" spans="1:10" ht="12">
      <c r="A104" s="4" t="s">
        <v>19</v>
      </c>
      <c r="E104" s="35" t="s">
        <v>100</v>
      </c>
      <c r="F104" s="41">
        <f>G91-2*E99</f>
        <v>0.005907545914954881</v>
      </c>
      <c r="G104" s="11"/>
      <c r="I104" s="10"/>
      <c r="J104" s="10"/>
    </row>
    <row r="105" spans="5:10" ht="12.75" thickBot="1">
      <c r="E105" s="46" t="s">
        <v>101</v>
      </c>
      <c r="F105" s="56">
        <f>G92-2*E100</f>
        <v>0.005892252946204881</v>
      </c>
      <c r="G105" s="33"/>
      <c r="I105" s="10"/>
      <c r="J105" s="10"/>
    </row>
    <row r="106" spans="9:10" ht="12">
      <c r="I106" s="10"/>
      <c r="J106" s="10"/>
    </row>
    <row r="107" spans="9:10" ht="12">
      <c r="I107" s="10"/>
      <c r="J107" s="10"/>
    </row>
    <row r="108" spans="9:10" ht="12">
      <c r="I108" s="10"/>
      <c r="J108" s="10"/>
    </row>
    <row r="109" spans="9:10" ht="12">
      <c r="I109" s="10"/>
      <c r="J109" s="10"/>
    </row>
    <row r="110" spans="9:10" ht="12">
      <c r="I110" s="10"/>
      <c r="J110" s="10"/>
    </row>
    <row r="113" spans="1:8" ht="12">
      <c r="A113" s="10"/>
      <c r="B113" s="10"/>
      <c r="D113" s="10"/>
      <c r="H113" s="12"/>
    </row>
    <row r="114" spans="1:2" ht="12">
      <c r="A114" s="10"/>
      <c r="B114" s="10"/>
    </row>
    <row r="115" spans="1:2" ht="12">
      <c r="A115" s="10"/>
      <c r="B115" s="10"/>
    </row>
    <row r="116" spans="1:2" ht="12">
      <c r="A116" s="10"/>
      <c r="B116" s="10"/>
    </row>
    <row r="117" spans="1:2" ht="12">
      <c r="A117" s="10"/>
      <c r="B117" s="10"/>
    </row>
    <row r="118" spans="1:2" ht="12">
      <c r="A118" s="10"/>
      <c r="B118" s="10"/>
    </row>
    <row r="119" spans="1:8" ht="12">
      <c r="A119" s="10"/>
      <c r="B119" s="10"/>
      <c r="F119" s="12"/>
      <c r="G119" s="41"/>
      <c r="H119" s="12"/>
    </row>
    <row r="120" ht="12">
      <c r="A120" t="s">
        <v>103</v>
      </c>
    </row>
    <row r="121" ht="12.75" thickBot="1"/>
    <row r="122" spans="1:8" ht="12">
      <c r="A122" s="19" t="s">
        <v>69</v>
      </c>
      <c r="B122" s="7"/>
      <c r="C122" s="7"/>
      <c r="D122" s="7"/>
      <c r="E122" s="7"/>
      <c r="F122" s="7"/>
      <c r="G122" s="7"/>
      <c r="H122" s="8"/>
    </row>
    <row r="123" spans="1:8" ht="12">
      <c r="A123" s="9"/>
      <c r="B123" s="10"/>
      <c r="C123" s="10"/>
      <c r="D123" s="10"/>
      <c r="E123" s="10"/>
      <c r="F123" s="10"/>
      <c r="G123" s="10"/>
      <c r="H123" s="11"/>
    </row>
    <row r="124" spans="1:8" ht="12">
      <c r="A124" s="9" t="s">
        <v>80</v>
      </c>
      <c r="B124">
        <v>0</v>
      </c>
      <c r="C124" s="21"/>
      <c r="D124" s="10"/>
      <c r="E124" s="10"/>
      <c r="F124" s="10"/>
      <c r="G124" s="10"/>
      <c r="H124" s="11"/>
    </row>
    <row r="125" spans="1:8" ht="12">
      <c r="A125" s="9" t="s">
        <v>81</v>
      </c>
      <c r="B125" s="3">
        <f>0.124/2</f>
        <v>0.062</v>
      </c>
      <c r="C125" s="21"/>
      <c r="D125" s="10"/>
      <c r="E125" s="10"/>
      <c r="F125" s="10"/>
      <c r="G125" s="10"/>
      <c r="H125" s="11"/>
    </row>
    <row r="126" spans="1:8" ht="12">
      <c r="A126" s="9" t="s">
        <v>82</v>
      </c>
      <c r="B126" s="3">
        <v>0</v>
      </c>
      <c r="C126" s="21"/>
      <c r="D126" s="10"/>
      <c r="E126" s="10"/>
      <c r="F126" s="10"/>
      <c r="G126" s="10"/>
      <c r="H126" s="11"/>
    </row>
    <row r="127" spans="1:8" ht="12">
      <c r="A127" s="9" t="s">
        <v>70</v>
      </c>
      <c r="B127" s="10">
        <f>B126+B125+B124</f>
        <v>0.062</v>
      </c>
      <c r="C127" s="10" t="s">
        <v>65</v>
      </c>
      <c r="E127" s="10"/>
      <c r="F127" s="16" t="s">
        <v>75</v>
      </c>
      <c r="G127" s="10"/>
      <c r="H127" s="11"/>
    </row>
    <row r="128" spans="1:8" ht="12">
      <c r="A128" s="9" t="s">
        <v>71</v>
      </c>
      <c r="B128" s="21">
        <v>2</v>
      </c>
      <c r="C128" s="21"/>
      <c r="D128" s="10"/>
      <c r="E128" s="10"/>
      <c r="F128" s="10"/>
      <c r="G128" s="10"/>
      <c r="H128" s="11"/>
    </row>
    <row r="129" spans="1:8" ht="12">
      <c r="A129" s="9" t="s">
        <v>72</v>
      </c>
      <c r="B129" s="10">
        <v>9.81</v>
      </c>
      <c r="C129" s="10"/>
      <c r="D129" s="10"/>
      <c r="E129" s="10"/>
      <c r="F129" s="10" t="s">
        <v>73</v>
      </c>
      <c r="G129" s="10">
        <f>(B127*B129*3/B128/PI()/B131)^0.5</f>
        <v>1.2049972167230465E-05</v>
      </c>
      <c r="H129" s="11"/>
    </row>
    <row r="130" spans="1:8" ht="12">
      <c r="A130" s="9" t="s">
        <v>74</v>
      </c>
      <c r="B130" s="22"/>
      <c r="C130" s="22"/>
      <c r="D130" s="10"/>
      <c r="E130" s="10"/>
      <c r="F130" s="10"/>
      <c r="G130" s="10">
        <f>G129*1000000</f>
        <v>12.049972167230464</v>
      </c>
      <c r="H130" s="11"/>
    </row>
    <row r="131" spans="1:8" ht="12.75" thickBot="1">
      <c r="A131" s="23" t="s">
        <v>92</v>
      </c>
      <c r="B131" s="22">
        <v>2000000000</v>
      </c>
      <c r="C131" s="22"/>
      <c r="D131" s="14"/>
      <c r="E131" s="14"/>
      <c r="F131" s="14"/>
      <c r="G131" s="14"/>
      <c r="H131" s="15"/>
    </row>
    <row r="132" spans="1:8" ht="12">
      <c r="A132" s="9"/>
      <c r="B132" s="10"/>
      <c r="C132" s="10"/>
      <c r="D132" s="10"/>
      <c r="E132" s="10"/>
      <c r="F132" s="10"/>
      <c r="G132" s="10"/>
      <c r="H132" s="11"/>
    </row>
    <row r="133" spans="1:8" ht="12">
      <c r="A133" s="9" t="s">
        <v>76</v>
      </c>
      <c r="B133" s="10"/>
      <c r="C133" s="10"/>
      <c r="D133" s="10">
        <v>127</v>
      </c>
      <c r="E133" s="10"/>
      <c r="F133" s="10">
        <f>D133/1000000</f>
        <v>0.000127</v>
      </c>
      <c r="G133" s="17"/>
      <c r="H133" s="11"/>
    </row>
    <row r="134" spans="1:8" ht="12">
      <c r="A134" s="9"/>
      <c r="B134" s="10"/>
      <c r="C134" s="10"/>
      <c r="D134" s="10"/>
      <c r="E134" s="10"/>
      <c r="F134" s="10"/>
      <c r="G134" s="10"/>
      <c r="H134" s="20"/>
    </row>
    <row r="135" spans="1:8" ht="12">
      <c r="A135" s="9" t="s">
        <v>77</v>
      </c>
      <c r="B135" s="10"/>
      <c r="C135" s="10"/>
      <c r="D135" s="10">
        <f>B127*B129/B128/PI()/(F133)^2</f>
        <v>6001687.611591084</v>
      </c>
      <c r="E135" s="10"/>
      <c r="F135" s="10"/>
      <c r="G135" s="10"/>
      <c r="H135" s="11"/>
    </row>
    <row r="136" spans="1:8" ht="12">
      <c r="A136" s="9"/>
      <c r="B136" s="10"/>
      <c r="C136" s="10"/>
      <c r="D136" s="10"/>
      <c r="E136" s="10"/>
      <c r="F136" s="10"/>
      <c r="G136" s="10"/>
      <c r="H136" s="11"/>
    </row>
    <row r="137" spans="1:8" ht="12.75" thickBot="1">
      <c r="A137" s="13" t="s">
        <v>79</v>
      </c>
      <c r="B137" s="14"/>
      <c r="C137" s="14"/>
      <c r="D137" s="81">
        <f>(D135/B131)*100</f>
        <v>0.30008438057955417</v>
      </c>
      <c r="E137" s="14" t="s">
        <v>24</v>
      </c>
      <c r="F137" s="14"/>
      <c r="G137" s="14"/>
      <c r="H137" s="15"/>
    </row>
    <row r="138" spans="1:8" ht="12">
      <c r="A138" s="10"/>
      <c r="B138" s="10"/>
      <c r="C138" s="10"/>
      <c r="D138" s="17"/>
      <c r="E138" s="10"/>
      <c r="F138" s="10"/>
      <c r="G138" s="10"/>
      <c r="H138" s="10"/>
    </row>
    <row r="139" ht="12.75" thickBot="1"/>
    <row r="140" spans="1:8" ht="12">
      <c r="A140" t="s">
        <v>87</v>
      </c>
      <c r="B140" t="s">
        <v>93</v>
      </c>
      <c r="D140" t="s">
        <v>104</v>
      </c>
      <c r="F140" s="1"/>
      <c r="G140" s="6" t="s">
        <v>35</v>
      </c>
      <c r="H140" s="8"/>
    </row>
    <row r="141" spans="1:8" ht="12">
      <c r="A141" t="s">
        <v>88</v>
      </c>
      <c r="B141">
        <v>6</v>
      </c>
      <c r="D141">
        <f aca="true" t="shared" si="4" ref="D141:D150">B141*0.0254/2*1000</f>
        <v>76.19999999999999</v>
      </c>
      <c r="E141" t="s">
        <v>90</v>
      </c>
      <c r="G141" s="9"/>
      <c r="H141" s="11"/>
    </row>
    <row r="142" spans="1:8" ht="12">
      <c r="A142" t="s">
        <v>89</v>
      </c>
      <c r="B142">
        <v>8</v>
      </c>
      <c r="D142">
        <f t="shared" si="4"/>
        <v>101.6</v>
      </c>
      <c r="E142" t="s">
        <v>90</v>
      </c>
      <c r="G142" s="9" t="s">
        <v>33</v>
      </c>
      <c r="H142" s="11">
        <v>25</v>
      </c>
    </row>
    <row r="143" spans="1:8" ht="12.75" thickBot="1">
      <c r="A143" t="s">
        <v>91</v>
      </c>
      <c r="B143">
        <v>10</v>
      </c>
      <c r="D143">
        <f t="shared" si="4"/>
        <v>127</v>
      </c>
      <c r="G143" s="13" t="s">
        <v>34</v>
      </c>
      <c r="H143" s="15">
        <f>H142*9.81/(PI()*(F133)^2)</f>
        <v>4840070654.508939</v>
      </c>
    </row>
    <row r="144" spans="2:4" ht="12">
      <c r="B144">
        <v>12</v>
      </c>
      <c r="D144">
        <f t="shared" si="4"/>
        <v>152.39999999999998</v>
      </c>
    </row>
    <row r="145" spans="2:4" ht="12">
      <c r="B145">
        <v>14</v>
      </c>
      <c r="D145">
        <f t="shared" si="4"/>
        <v>177.79999999999998</v>
      </c>
    </row>
    <row r="146" spans="2:4" ht="12">
      <c r="B146">
        <v>16</v>
      </c>
      <c r="D146">
        <f t="shared" si="4"/>
        <v>203.2</v>
      </c>
    </row>
    <row r="147" spans="2:4" ht="12">
      <c r="B147">
        <v>18</v>
      </c>
      <c r="D147">
        <f t="shared" si="4"/>
        <v>228.6</v>
      </c>
    </row>
    <row r="148" spans="2:4" ht="12">
      <c r="B148">
        <v>20</v>
      </c>
      <c r="D148">
        <f t="shared" si="4"/>
        <v>254</v>
      </c>
    </row>
    <row r="149" spans="2:4" ht="12">
      <c r="B149">
        <v>22</v>
      </c>
      <c r="D149">
        <f t="shared" si="4"/>
        <v>279.4</v>
      </c>
    </row>
    <row r="150" spans="2:4" ht="12">
      <c r="B150">
        <v>24</v>
      </c>
      <c r="D150">
        <f t="shared" si="4"/>
        <v>304.79999999999995</v>
      </c>
    </row>
  </sheetData>
  <printOptions/>
  <pageMargins left="0.25" right="0.2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Bram Slagmolen</cp:lastModifiedBy>
  <cp:lastPrinted>2009-10-27T02:12:59Z</cp:lastPrinted>
  <dcterms:created xsi:type="dcterms:W3CDTF">1999-12-02T14:58:15Z</dcterms:created>
  <dcterms:modified xsi:type="dcterms:W3CDTF">2010-06-01T11:01:27Z</dcterms:modified>
  <cp:category/>
  <cp:version/>
  <cp:contentType/>
  <cp:contentStatus/>
</cp:coreProperties>
</file>