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xl/charts/chart1.xml" ContentType="application/vnd.openxmlformats-officedocument.drawingml.chart+xml"/>
  <Default Extension="rels" ContentType="application/vnd.openxmlformats-package.relationship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drawings/drawing1.xml" ContentType="application/vnd.openxmlformats-officedocument.drawing+xml"/>
  <Default Extension="jpeg" ContentType="image/jpeg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440" yWindow="-80" windowWidth="21600" windowHeight="15320" tabRatio="500"/>
  </bookViews>
  <sheets>
    <sheet name="PRM-04 check files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21" i="1"/>
  <c r="M20"/>
  <c r="I20"/>
  <c r="E20"/>
  <c r="W9"/>
  <c r="W10"/>
  <c r="W13"/>
  <c r="W15"/>
  <c r="Q9"/>
  <c r="Q10"/>
  <c r="Q13"/>
  <c r="Q15"/>
  <c r="W16"/>
  <c r="Z9"/>
  <c r="Z10"/>
  <c r="Z13"/>
  <c r="Z15"/>
  <c r="Z16"/>
  <c r="AA9"/>
  <c r="AA10"/>
  <c r="AA13"/>
  <c r="AA15"/>
  <c r="AA16"/>
  <c r="AB9"/>
  <c r="AB10"/>
  <c r="AB13"/>
  <c r="AB15"/>
  <c r="AB16"/>
  <c r="AE9"/>
  <c r="AE10"/>
  <c r="AE13"/>
  <c r="AE15"/>
  <c r="AE16"/>
  <c r="AD19"/>
  <c r="E19"/>
  <c r="V9"/>
  <c r="V10"/>
  <c r="V13"/>
  <c r="V15"/>
  <c r="V16"/>
  <c r="Y9"/>
  <c r="Y10"/>
  <c r="Y13"/>
  <c r="Y15"/>
  <c r="Y16"/>
  <c r="AD9"/>
  <c r="AD10"/>
  <c r="AD13"/>
  <c r="AD15"/>
  <c r="AD16"/>
  <c r="AD18"/>
  <c r="R9"/>
  <c r="R10"/>
  <c r="R13"/>
  <c r="R15"/>
  <c r="S9"/>
  <c r="S10"/>
  <c r="S13"/>
  <c r="S15"/>
  <c r="T9"/>
  <c r="T10"/>
  <c r="T13"/>
  <c r="T15"/>
  <c r="Q16"/>
  <c r="H9"/>
  <c r="H10"/>
  <c r="H13"/>
  <c r="H15"/>
  <c r="I9"/>
  <c r="I10"/>
  <c r="I13"/>
  <c r="I15"/>
  <c r="J9"/>
  <c r="J10"/>
  <c r="J13"/>
  <c r="J15"/>
  <c r="K9"/>
  <c r="K10"/>
  <c r="K13"/>
  <c r="K15"/>
  <c r="L9"/>
  <c r="L10"/>
  <c r="L13"/>
  <c r="L15"/>
  <c r="M9"/>
  <c r="M10"/>
  <c r="M13"/>
  <c r="M15"/>
  <c r="N9"/>
  <c r="N10"/>
  <c r="N13"/>
  <c r="N15"/>
  <c r="O9"/>
  <c r="O10"/>
  <c r="O13"/>
  <c r="O15"/>
  <c r="P9"/>
  <c r="P10"/>
  <c r="P13"/>
  <c r="P15"/>
  <c r="H16"/>
  <c r="AG9"/>
  <c r="AG10"/>
  <c r="AG13"/>
  <c r="AG15"/>
  <c r="G9"/>
  <c r="G10"/>
  <c r="G13"/>
  <c r="G15"/>
  <c r="F9"/>
  <c r="F10"/>
  <c r="F13"/>
  <c r="F15"/>
  <c r="E9"/>
  <c r="E10"/>
  <c r="E13"/>
  <c r="E15"/>
</calcChain>
</file>

<file path=xl/sharedStrings.xml><?xml version="1.0" encoding="utf-8"?>
<sst xmlns="http://schemas.openxmlformats.org/spreadsheetml/2006/main" count="61" uniqueCount="55">
  <si>
    <t>ROC (m) =</t>
    <phoneticPr fontId="1" type="noConversion"/>
  </si>
  <si>
    <t>Cumulative</t>
    <phoneticPr fontId="1" type="noConversion"/>
  </si>
  <si>
    <t>mm</t>
    <phoneticPr fontId="1" type="noConversion"/>
  </si>
  <si>
    <t>m</t>
    <phoneticPr fontId="1" type="noConversion"/>
  </si>
  <si>
    <t>mm</t>
    <phoneticPr fontId="1" type="noConversion"/>
  </si>
  <si>
    <t>Tolerances:</t>
    <phoneticPr fontId="1" type="noConversion"/>
  </si>
  <si>
    <t>Gap between TS and part to be measured</t>
  </si>
  <si>
    <t>Vertex to vertex, no tilt</t>
  </si>
  <si>
    <t>Zernike power coefficient</t>
  </si>
  <si>
    <t>Assumes "Fringe" Zernikes</t>
  </si>
  <si>
    <t>nm</t>
  </si>
  <si>
    <t>Part measured aperture</t>
  </si>
  <si>
    <t>mm</t>
  </si>
  <si>
    <t>Wavefront "sag" at part plus power</t>
  </si>
  <si>
    <t xml:space="preserve">Part radius </t>
  </si>
  <si>
    <t>Difference from Ave 0 deg</t>
    <phoneticPr fontId="1" type="noConversion"/>
  </si>
  <si>
    <t>Specified Radius</t>
    <phoneticPr fontId="0" type="noConversion"/>
  </si>
  <si>
    <t>m</t>
    <phoneticPr fontId="0" type="noConversion"/>
  </si>
  <si>
    <t>(cumulative)</t>
    <phoneticPr fontId="1" type="noConversion"/>
  </si>
  <si>
    <t xml:space="preserve"> (+/-0.11)</t>
    <phoneticPr fontId="0" type="noConversion"/>
  </si>
  <si>
    <t>Individual files</t>
    <phoneticPr fontId="1" type="noConversion"/>
  </si>
  <si>
    <t>Average files at each rotation</t>
    <phoneticPr fontId="1" type="noConversion"/>
  </si>
  <si>
    <t>Effect of Gap</t>
    <phoneticPr fontId="1" type="noConversion"/>
  </si>
  <si>
    <t>Effect of mask position</t>
    <phoneticPr fontId="1" type="noConversion"/>
  </si>
  <si>
    <t>Effect of ROC-TS tolerances</t>
    <phoneticPr fontId="1" type="noConversion"/>
  </si>
  <si>
    <t>0 deg, 120_007</t>
    <phoneticPr fontId="1" type="noConversion"/>
  </si>
  <si>
    <t>0 deg, 120_001</t>
    <phoneticPr fontId="1" type="noConversion"/>
  </si>
  <si>
    <t>0 deg, 120_013</t>
    <phoneticPr fontId="1" type="noConversion"/>
  </si>
  <si>
    <t>90 deg, 120_005</t>
    <phoneticPr fontId="1" type="noConversion"/>
  </si>
  <si>
    <t>90 deg, 120_019</t>
    <phoneticPr fontId="1" type="noConversion"/>
  </si>
  <si>
    <t>180 deg, 120_011</t>
    <phoneticPr fontId="1" type="noConversion"/>
  </si>
  <si>
    <t>180 deg, 120_020</t>
    <phoneticPr fontId="1" type="noConversion"/>
  </si>
  <si>
    <t>270 deg, 120_006</t>
    <phoneticPr fontId="1" type="noConversion"/>
  </si>
  <si>
    <t>270 deg, 120_017</t>
    <phoneticPr fontId="1" type="noConversion"/>
  </si>
  <si>
    <t>Ave 0 deg</t>
    <phoneticPr fontId="1" type="noConversion"/>
  </si>
  <si>
    <t>Ave 90 deg</t>
    <phoneticPr fontId="1" type="noConversion"/>
  </si>
  <si>
    <t>Ave 180 deg</t>
    <phoneticPr fontId="1" type="noConversion"/>
  </si>
  <si>
    <t>Ave 270 deg</t>
    <phoneticPr fontId="1" type="noConversion"/>
  </si>
  <si>
    <t xml:space="preserve"> +2 mm</t>
    <phoneticPr fontId="1" type="noConversion"/>
  </si>
  <si>
    <t xml:space="preserve"> -2 mm</t>
    <phoneticPr fontId="1" type="noConversion"/>
  </si>
  <si>
    <t>x0, y+2mm</t>
    <phoneticPr fontId="1" type="noConversion"/>
  </si>
  <si>
    <t>x0, y-2mm</t>
    <phoneticPr fontId="1" type="noConversion"/>
  </si>
  <si>
    <t>x+2mm, y0</t>
    <phoneticPr fontId="1" type="noConversion"/>
  </si>
  <si>
    <t>x-2mm, y0</t>
    <phoneticPr fontId="1" type="noConversion"/>
  </si>
  <si>
    <t>ROC-TS min</t>
    <phoneticPr fontId="1" type="noConversion"/>
  </si>
  <si>
    <t>ROC-TS max</t>
    <phoneticPr fontId="1" type="noConversion"/>
  </si>
  <si>
    <t>PRM-04_S1.dat</t>
    <phoneticPr fontId="1" type="noConversion"/>
  </si>
  <si>
    <t>Radius of curvature of TS</t>
  </si>
  <si>
    <t>Assumes converging TS and cvx part</t>
    <phoneticPr fontId="0" type="noConversion"/>
  </si>
  <si>
    <t>m</t>
  </si>
  <si>
    <t>Check#</t>
    <phoneticPr fontId="1" type="noConversion"/>
  </si>
  <si>
    <t>R. Martin and G. Billingsley</t>
    <phoneticPr fontId="1" type="noConversion"/>
  </si>
  <si>
    <t>T1300743-v1</t>
    <phoneticPr fontId="1" type="noConversion"/>
  </si>
  <si>
    <t>PRM-04 ROC recalculation and tolerances</t>
    <phoneticPr fontId="1" type="noConversion"/>
  </si>
  <si>
    <t>Before 9/11/13</t>
    <phoneticPr fontId="1" type="noConversion"/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</si>
</sst>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0"/>
    <numFmt numFmtId="169" formatCode="0.000"/>
    <numFmt numFmtId="170" formatCode="0.0"/>
  </numFmts>
  <fonts count="21">
    <font>
      <sz val="11"/>
      <color indexed="8"/>
      <name val="Calibri"/>
      <family val="2"/>
    </font>
    <font>
      <sz val="8"/>
      <name val="Arial"/>
    </font>
    <font>
      <b/>
      <sz val="11"/>
      <color indexed="10"/>
      <name val="Calibri"/>
    </font>
    <font>
      <b/>
      <sz val="11"/>
      <color indexed="8"/>
      <name val="Calibri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</font>
    <font>
      <b/>
      <sz val="10"/>
      <color indexed="55"/>
      <name val="Arial"/>
    </font>
    <font>
      <b/>
      <i/>
      <sz val="10"/>
      <color indexed="8"/>
      <name val="Arial"/>
    </font>
    <font>
      <b/>
      <sz val="10"/>
      <color indexed="12"/>
      <name val="Arial"/>
    </font>
    <font>
      <sz val="10"/>
      <color indexed="12"/>
      <name val="Arial"/>
    </font>
    <font>
      <sz val="10"/>
      <color indexed="10"/>
      <name val="Arial"/>
    </font>
    <font>
      <u/>
      <sz val="10"/>
      <color indexed="10"/>
      <name val="Arial"/>
    </font>
    <font>
      <b/>
      <u/>
      <sz val="10"/>
      <color indexed="61"/>
      <name val="Arial"/>
    </font>
    <font>
      <b/>
      <sz val="10"/>
      <color indexed="61"/>
      <name val="Arial"/>
    </font>
    <font>
      <b/>
      <sz val="11"/>
      <color indexed="61"/>
      <name val="Calibri"/>
    </font>
    <font>
      <sz val="10"/>
      <color indexed="61"/>
      <name val="Arial"/>
    </font>
    <font>
      <b/>
      <sz val="11"/>
      <color indexed="12"/>
      <name val="Calibri"/>
    </font>
    <font>
      <b/>
      <u/>
      <sz val="11"/>
      <color indexed="10"/>
      <name val="Calibri"/>
    </font>
    <font>
      <b/>
      <sz val="14"/>
      <color indexed="12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4" xfId="0" applyFont="1" applyBorder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0" xfId="0" applyFill="1" applyBorder="1" applyAlignment="1">
      <alignment horizontal="right" wrapText="1"/>
    </xf>
    <xf numFmtId="0" fontId="0" fillId="0" borderId="6" xfId="0" applyBorder="1" applyAlignment="1">
      <alignment wrapText="1"/>
    </xf>
    <xf numFmtId="0" fontId="0" fillId="0" borderId="7" xfId="0" applyFill="1" applyBorder="1" applyAlignment="1">
      <alignment horizontal="right" wrapText="1"/>
    </xf>
    <xf numFmtId="0" fontId="0" fillId="0" borderId="8" xfId="0" applyBorder="1" applyAlignment="1">
      <alignment wrapText="1"/>
    </xf>
    <xf numFmtId="0" fontId="0" fillId="0" borderId="9" xfId="0" applyFill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5" xfId="0" applyFont="1" applyBorder="1"/>
    <xf numFmtId="0" fontId="4" fillId="0" borderId="0" xfId="0" applyFont="1" applyFill="1" applyBorder="1"/>
    <xf numFmtId="0" fontId="4" fillId="0" borderId="6" xfId="0" applyFont="1" applyBorder="1"/>
    <xf numFmtId="0" fontId="4" fillId="0" borderId="0" xfId="0" applyFont="1" applyBorder="1"/>
    <xf numFmtId="0" fontId="4" fillId="0" borderId="11" xfId="0" applyFont="1" applyBorder="1"/>
    <xf numFmtId="169" fontId="5" fillId="0" borderId="0" xfId="0" applyNumberFormat="1" applyFont="1"/>
    <xf numFmtId="169" fontId="5" fillId="0" borderId="5" xfId="0" applyNumberFormat="1" applyFont="1" applyBorder="1"/>
    <xf numFmtId="169" fontId="6" fillId="0" borderId="0" xfId="0" applyNumberFormat="1" applyFont="1" applyFill="1" applyBorder="1"/>
    <xf numFmtId="169" fontId="5" fillId="0" borderId="6" xfId="0" applyNumberFormat="1" applyFont="1" applyBorder="1"/>
    <xf numFmtId="169" fontId="5" fillId="0" borderId="0" xfId="0" applyNumberFormat="1" applyFont="1" applyBorder="1"/>
    <xf numFmtId="169" fontId="6" fillId="0" borderId="11" xfId="0" applyNumberFormat="1" applyFont="1" applyBorder="1"/>
    <xf numFmtId="0" fontId="7" fillId="0" borderId="0" xfId="0" applyFont="1"/>
    <xf numFmtId="0" fontId="7" fillId="0" borderId="5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5" xfId="0" applyFont="1" applyBorder="1"/>
    <xf numFmtId="0" fontId="8" fillId="0" borderId="0" xfId="0" applyFont="1" applyFill="1" applyBorder="1"/>
    <xf numFmtId="0" fontId="8" fillId="0" borderId="6" xfId="0" applyFont="1" applyBorder="1"/>
    <xf numFmtId="0" fontId="8" fillId="0" borderId="0" xfId="0" applyFont="1" applyBorder="1"/>
    <xf numFmtId="0" fontId="8" fillId="0" borderId="6" xfId="0" applyFont="1" applyFill="1" applyBorder="1"/>
    <xf numFmtId="0" fontId="8" fillId="0" borderId="5" xfId="0" applyFont="1" applyFill="1" applyBorder="1"/>
    <xf numFmtId="0" fontId="8" fillId="0" borderId="11" xfId="0" applyFont="1" applyBorder="1"/>
    <xf numFmtId="0" fontId="9" fillId="0" borderId="0" xfId="0" applyFont="1" applyAlignment="1">
      <alignment wrapText="1"/>
    </xf>
    <xf numFmtId="0" fontId="10" fillId="0" borderId="0" xfId="0" applyFont="1"/>
    <xf numFmtId="0" fontId="9" fillId="0" borderId="0" xfId="0" applyFont="1" applyAlignment="1">
      <alignment horizontal="center"/>
    </xf>
    <xf numFmtId="168" fontId="7" fillId="0" borderId="0" xfId="0" applyNumberFormat="1" applyFont="1"/>
    <xf numFmtId="168" fontId="7" fillId="0" borderId="5" xfId="0" applyNumberFormat="1" applyFont="1" applyBorder="1"/>
    <xf numFmtId="168" fontId="9" fillId="0" borderId="0" xfId="0" applyNumberFormat="1" applyFont="1"/>
    <xf numFmtId="168" fontId="9" fillId="0" borderId="5" xfId="0" applyNumberFormat="1" applyFont="1" applyBorder="1"/>
    <xf numFmtId="168" fontId="6" fillId="0" borderId="0" xfId="0" applyNumberFormat="1" applyFont="1" applyFill="1" applyBorder="1"/>
    <xf numFmtId="168" fontId="9" fillId="0" borderId="6" xfId="0" applyNumberFormat="1" applyFont="1" applyBorder="1"/>
    <xf numFmtId="168" fontId="9" fillId="0" borderId="0" xfId="0" applyNumberFormat="1" applyFont="1" applyBorder="1"/>
    <xf numFmtId="168" fontId="6" fillId="0" borderId="12" xfId="0" applyNumberFormat="1" applyFont="1" applyBorder="1"/>
    <xf numFmtId="0" fontId="11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center"/>
    </xf>
    <xf numFmtId="170" fontId="12" fillId="0" borderId="0" xfId="0" applyNumberFormat="1" applyFont="1" applyBorder="1" applyAlignment="1">
      <alignment horizontal="center"/>
    </xf>
    <xf numFmtId="170" fontId="12" fillId="0" borderId="5" xfId="0" applyNumberFormat="1" applyFont="1" applyBorder="1" applyAlignment="1">
      <alignment horizontal="center"/>
    </xf>
    <xf numFmtId="168" fontId="12" fillId="0" borderId="0" xfId="0" applyNumberFormat="1" applyFont="1" applyFill="1" applyBorder="1" applyAlignment="1">
      <alignment horizontal="right"/>
    </xf>
    <xf numFmtId="170" fontId="13" fillId="0" borderId="8" xfId="0" applyNumberFormat="1" applyFont="1" applyBorder="1" applyAlignment="1">
      <alignment horizontal="center"/>
    </xf>
    <xf numFmtId="170" fontId="13" fillId="0" borderId="9" xfId="0" applyNumberFormat="1" applyFont="1" applyBorder="1" applyAlignment="1">
      <alignment horizontal="center"/>
    </xf>
    <xf numFmtId="168" fontId="13" fillId="0" borderId="9" xfId="0" applyNumberFormat="1" applyFont="1" applyFill="1" applyBorder="1" applyAlignment="1">
      <alignment horizontal="right"/>
    </xf>
    <xf numFmtId="170" fontId="13" fillId="0" borderId="7" xfId="0" applyNumberFormat="1" applyFont="1" applyBorder="1" applyAlignment="1">
      <alignment horizontal="center"/>
    </xf>
    <xf numFmtId="0" fontId="11" fillId="0" borderId="0" xfId="0" applyFont="1" applyBorder="1"/>
    <xf numFmtId="0" fontId="14" fillId="0" borderId="0" xfId="0" applyFont="1"/>
    <xf numFmtId="0" fontId="14" fillId="0" borderId="0" xfId="0" applyFont="1" applyFill="1" applyBorder="1"/>
    <xf numFmtId="0" fontId="14" fillId="0" borderId="6" xfId="0" applyFont="1" applyFill="1" applyBorder="1"/>
    <xf numFmtId="0" fontId="14" fillId="4" borderId="1" xfId="0" applyFont="1" applyFill="1" applyBorder="1"/>
    <xf numFmtId="0" fontId="14" fillId="4" borderId="2" xfId="0" applyFont="1" applyFill="1" applyBorder="1"/>
    <xf numFmtId="0" fontId="14" fillId="4" borderId="2" xfId="0" applyFont="1" applyFill="1" applyBorder="1" applyAlignment="1">
      <alignment horizontal="center"/>
    </xf>
    <xf numFmtId="2" fontId="14" fillId="4" borderId="3" xfId="0" applyNumberFormat="1" applyFont="1" applyFill="1" applyBorder="1"/>
    <xf numFmtId="169" fontId="16" fillId="0" borderId="0" xfId="0" applyNumberFormat="1" applyFont="1"/>
    <xf numFmtId="0" fontId="16" fillId="0" borderId="0" xfId="0" applyFont="1"/>
    <xf numFmtId="0" fontId="16" fillId="0" borderId="0" xfId="0" applyFont="1" applyFill="1" applyBorder="1"/>
    <xf numFmtId="170" fontId="9" fillId="3" borderId="0" xfId="0" applyNumberFormat="1" applyFont="1" applyFill="1" applyBorder="1"/>
    <xf numFmtId="0" fontId="16" fillId="4" borderId="6" xfId="0" applyFont="1" applyFill="1" applyBorder="1"/>
    <xf numFmtId="0" fontId="16" fillId="4" borderId="0" xfId="0" applyFont="1" applyFill="1" applyBorder="1"/>
    <xf numFmtId="2" fontId="14" fillId="4" borderId="5" xfId="0" applyNumberFormat="1" applyFont="1" applyFill="1" applyBorder="1"/>
    <xf numFmtId="169" fontId="4" fillId="0" borderId="0" xfId="0" applyNumberFormat="1" applyFont="1"/>
    <xf numFmtId="0" fontId="14" fillId="0" borderId="13" xfId="0" applyFont="1" applyFill="1" applyBorder="1"/>
    <xf numFmtId="0" fontId="14" fillId="0" borderId="14" xfId="0" applyFont="1" applyFill="1" applyBorder="1"/>
    <xf numFmtId="170" fontId="9" fillId="3" borderId="14" xfId="0" applyNumberFormat="1" applyFont="1" applyFill="1" applyBorder="1"/>
    <xf numFmtId="0" fontId="4" fillId="4" borderId="13" xfId="0" applyFont="1" applyFill="1" applyBorder="1"/>
    <xf numFmtId="0" fontId="4" fillId="4" borderId="14" xfId="0" applyFont="1" applyFill="1" applyBorder="1"/>
    <xf numFmtId="0" fontId="4" fillId="4" borderId="14" xfId="0" applyFont="1" applyFill="1" applyBorder="1" applyAlignment="1">
      <alignment horizontal="center"/>
    </xf>
    <xf numFmtId="2" fontId="14" fillId="4" borderId="15" xfId="0" applyNumberFormat="1" applyFont="1" applyFill="1" applyBorder="1"/>
    <xf numFmtId="0" fontId="4" fillId="0" borderId="0" xfId="0" applyFont="1" applyFill="1"/>
    <xf numFmtId="168" fontId="4" fillId="0" borderId="0" xfId="0" applyNumberFormat="1" applyFont="1"/>
    <xf numFmtId="0" fontId="8" fillId="0" borderId="0" xfId="0" applyFont="1" applyAlignment="1">
      <alignment horizontal="right" wrapText="1"/>
    </xf>
    <xf numFmtId="15" fontId="0" fillId="0" borderId="0" xfId="0" applyNumberFormat="1" applyAlignment="1">
      <alignment horizontal="left"/>
    </xf>
    <xf numFmtId="0" fontId="17" fillId="0" borderId="0" xfId="0" applyFont="1"/>
    <xf numFmtId="0" fontId="18" fillId="0" borderId="0" xfId="0" applyFont="1"/>
    <xf numFmtId="168" fontId="19" fillId="3" borderId="17" xfId="0" applyNumberFormat="1" applyFont="1" applyFill="1" applyBorder="1"/>
    <xf numFmtId="0" fontId="19" fillId="3" borderId="17" xfId="0" applyFont="1" applyFill="1" applyBorder="1" applyAlignment="1">
      <alignment horizontal="left"/>
    </xf>
    <xf numFmtId="0" fontId="19" fillId="3" borderId="17" xfId="0" applyFont="1" applyFill="1" applyBorder="1" applyAlignment="1">
      <alignment horizontal="right"/>
    </xf>
    <xf numFmtId="170" fontId="19" fillId="3" borderId="17" xfId="0" applyNumberFormat="1" applyFont="1" applyFill="1" applyBorder="1"/>
    <xf numFmtId="0" fontId="19" fillId="3" borderId="18" xfId="0" applyFont="1" applyFill="1" applyBorder="1"/>
    <xf numFmtId="0" fontId="19" fillId="3" borderId="19" xfId="0" applyFont="1" applyFill="1" applyBorder="1"/>
    <xf numFmtId="0" fontId="19" fillId="3" borderId="20" xfId="0" applyFont="1" applyFill="1" applyBorder="1"/>
    <xf numFmtId="0" fontId="19" fillId="3" borderId="20" xfId="0" applyFont="1" applyFill="1" applyBorder="1" applyAlignment="1">
      <alignment horizontal="right"/>
    </xf>
    <xf numFmtId="170" fontId="19" fillId="3" borderId="20" xfId="0" applyNumberFormat="1" applyFont="1" applyFill="1" applyBorder="1"/>
    <xf numFmtId="0" fontId="19" fillId="3" borderId="21" xfId="0" applyFont="1" applyFill="1" applyBorder="1"/>
    <xf numFmtId="0" fontId="19" fillId="3" borderId="16" xfId="0" applyFont="1" applyFill="1" applyBorder="1" applyAlignment="1">
      <alignment horizontal="right"/>
    </xf>
    <xf numFmtId="0" fontId="20" fillId="0" borderId="0" xfId="0" applyFont="1" applyAlignment="1">
      <alignment wrapText="1"/>
    </xf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5" xfId="0" applyFont="1" applyBorder="1"/>
    <xf numFmtId="0" fontId="20" fillId="0" borderId="0" xfId="0" applyFont="1" applyFill="1" applyBorder="1"/>
    <xf numFmtId="0" fontId="20" fillId="0" borderId="6" xfId="0" applyFont="1" applyBorder="1"/>
    <xf numFmtId="0" fontId="20" fillId="0" borderId="0" xfId="0" applyFont="1" applyBorder="1"/>
    <xf numFmtId="0" fontId="20" fillId="0" borderId="11" xfId="0" applyFont="1" applyBorder="1"/>
    <xf numFmtId="0" fontId="9" fillId="3" borderId="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8" fontId="9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8" fontId="9" fillId="3" borderId="1" xfId="0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5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PRM-04 ROC Tolerances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5400">
              <a:solidFill>
                <a:srgbClr val="666699"/>
              </a:solidFill>
              <a:prstDash val="solid"/>
            </a:ln>
          </c:spPr>
          <c:marker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chemeClr val="bg1">
                      <a:lumMod val="65000"/>
                    </a:schemeClr>
                  </a:solidFill>
                  <a:prstDash val="solid"/>
                </a:ln>
              </c:spPr>
            </c:marker>
          </c:dPt>
          <c:dPt>
            <c:idx val="1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chemeClr val="bg1">
                      <a:lumMod val="65000"/>
                    </a:schemeClr>
                  </a:solidFill>
                  <a:prstDash val="solid"/>
                </a:ln>
              </c:spPr>
            </c:marker>
          </c:dPt>
          <c:dPt>
            <c:idx val="2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chemeClr val="bg1">
                      <a:lumMod val="65000"/>
                    </a:schemeClr>
                  </a:solidFill>
                  <a:prstDash val="solid"/>
                </a:ln>
              </c:spPr>
            </c:marker>
          </c:dPt>
          <c:dPt>
            <c:idx val="3"/>
            <c:spPr>
              <a:ln>
                <a:solidFill>
                  <a:srgbClr val="4F81BD">
                    <a:shade val="95000"/>
                    <a:satMod val="105000"/>
                    <a:alpha val="0"/>
                  </a:srgbClr>
                </a:solidFill>
              </a:ln>
            </c:spPr>
          </c:dPt>
          <c:dPt>
            <c:idx val="12"/>
            <c:marker>
              <c:symbol val="circle"/>
              <c:size val="10"/>
              <c:spPr>
                <a:solidFill>
                  <a:srgbClr val="008000"/>
                </a:solidFill>
              </c:spPr>
            </c:marker>
            <c:spPr>
              <a:ln>
                <a:solidFill>
                  <a:srgbClr val="4F81BD">
                    <a:shade val="95000"/>
                    <a:satMod val="105000"/>
                    <a:alpha val="0"/>
                  </a:srgbClr>
                </a:solidFill>
              </a:ln>
            </c:spPr>
          </c:dPt>
          <c:dPt>
            <c:idx val="13"/>
            <c:marker>
              <c:symbol val="circle"/>
              <c:size val="10"/>
              <c:spPr>
                <a:solidFill>
                  <a:srgbClr val="008000"/>
                </a:solidFill>
              </c:spPr>
            </c:marker>
            <c:spPr/>
          </c:dPt>
          <c:dPt>
            <c:idx val="14"/>
            <c:marker>
              <c:symbol val="circle"/>
              <c:size val="10"/>
              <c:spPr>
                <a:solidFill>
                  <a:srgbClr val="008000"/>
                </a:solidFill>
              </c:spPr>
            </c:marker>
            <c:spPr/>
          </c:dPt>
          <c:dPt>
            <c:idx val="15"/>
            <c:marker>
              <c:symbol val="circle"/>
              <c:size val="10"/>
              <c:spPr>
                <a:solidFill>
                  <a:srgbClr val="008000"/>
                </a:solidFill>
              </c:spPr>
            </c:marker>
            <c:spPr/>
          </c:dPt>
          <c:dPt>
            <c:idx val="16"/>
            <c:marker>
              <c:symbol val="star"/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  <c:spPr>
              <a:ln>
                <a:solidFill>
                  <a:srgbClr val="FFFF00">
                    <a:alpha val="0"/>
                  </a:srgbClr>
                </a:solidFill>
              </a:ln>
            </c:spPr>
          </c:dPt>
          <c:dPt>
            <c:idx val="19"/>
            <c:spPr>
              <a:ln>
                <a:solidFill>
                  <a:srgbClr val="660066"/>
                </a:solidFill>
              </a:ln>
            </c:spPr>
          </c:dPt>
          <c:dPt>
            <c:idx val="21"/>
            <c:marker>
              <c:symbol val="diamond"/>
              <c:size val="7"/>
            </c:marker>
            <c:spPr/>
          </c:dPt>
          <c:dPt>
            <c:idx val="28"/>
            <c:marker>
              <c:symbol val="diamond"/>
              <c:size val="1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</c:dPt>
          <c:yVal>
            <c:numRef>
              <c:f>'PRM-04 check files'!$E$15:$AG$15</c:f>
              <c:numCache>
                <c:formatCode>0.0000</c:formatCode>
                <c:ptCount val="29"/>
                <c:pt idx="0">
                  <c:v>-10.96081636128692</c:v>
                </c:pt>
                <c:pt idx="1">
                  <c:v>-10.96083627280951</c:v>
                </c:pt>
                <c:pt idx="2">
                  <c:v>-10.96066779297891</c:v>
                </c:pt>
                <c:pt idx="3">
                  <c:v>-10.94800056328516</c:v>
                </c:pt>
                <c:pt idx="4">
                  <c:v>-10.94764920454319</c:v>
                </c:pt>
                <c:pt idx="5">
                  <c:v>-10.94722379432407</c:v>
                </c:pt>
                <c:pt idx="6">
                  <c:v>-10.94863984004318</c:v>
                </c:pt>
                <c:pt idx="7">
                  <c:v>-10.94834453570662</c:v>
                </c:pt>
                <c:pt idx="8">
                  <c:v>-10.94726612221791</c:v>
                </c:pt>
                <c:pt idx="9">
                  <c:v>-10.94687460168896</c:v>
                </c:pt>
                <c:pt idx="10">
                  <c:v>-10.94703120653991</c:v>
                </c:pt>
                <c:pt idx="11">
                  <c:v>-10.94676667392683</c:v>
                </c:pt>
                <c:pt idx="12">
                  <c:v>-10.94772010946085</c:v>
                </c:pt>
                <c:pt idx="13">
                  <c:v>-10.94840909909335</c:v>
                </c:pt>
                <c:pt idx="14">
                  <c:v>-10.94803337202979</c:v>
                </c:pt>
                <c:pt idx="15">
                  <c:v>-10.94691057808261</c:v>
                </c:pt>
                <c:pt idx="17">
                  <c:v>-10.94572971235925</c:v>
                </c:pt>
                <c:pt idx="18">
                  <c:v>-10.94971050481849</c:v>
                </c:pt>
                <c:pt idx="20">
                  <c:v>-10.94739204963752</c:v>
                </c:pt>
                <c:pt idx="21">
                  <c:v>-10.94925166817517</c:v>
                </c:pt>
                <c:pt idx="22">
                  <c:v>-10.94830749148426</c:v>
                </c:pt>
                <c:pt idx="23">
                  <c:v>-10.94829373226552</c:v>
                </c:pt>
                <c:pt idx="25">
                  <c:v>-10.93528009896405</c:v>
                </c:pt>
                <c:pt idx="26">
                  <c:v>-10.9601600518345</c:v>
                </c:pt>
                <c:pt idx="28">
                  <c:v>-10.9723786327198</c:v>
                </c:pt>
              </c:numCache>
            </c:numRef>
          </c:yVal>
        </c:ser>
        <c:axId val="454090664"/>
        <c:axId val="467893640"/>
      </c:scatterChart>
      <c:valAx>
        <c:axId val="454090664"/>
        <c:scaling>
          <c:orientation val="minMax"/>
          <c:max val="30.0"/>
          <c:min val="0.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Check #</a:t>
                </a:r>
              </a:p>
            </c:rich>
          </c:tx>
          <c:layout/>
        </c:title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7893640"/>
        <c:crosses val="autoZero"/>
        <c:crossBetween val="midCat"/>
      </c:valAx>
      <c:valAx>
        <c:axId val="4678936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ROC (m)</a:t>
                </a:r>
              </a:p>
            </c:rich>
          </c:tx>
          <c:layout/>
        </c:title>
        <c:numFmt formatCode="0.000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454090664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25400</xdr:colOff>
      <xdr:row>19</xdr:row>
      <xdr:rowOff>76200</xdr:rowOff>
    </xdr:from>
    <xdr:to>
      <xdr:col>32</xdr:col>
      <xdr:colOff>1028700</xdr:colOff>
      <xdr:row>35</xdr:row>
      <xdr:rowOff>101600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AG44"/>
  <sheetViews>
    <sheetView tabSelected="1" workbookViewId="0">
      <pane xSplit="4" topLeftCell="S1" activePane="topRight" state="frozen"/>
      <selection pane="topRight" activeCell="B1" sqref="B1"/>
    </sheetView>
  </sheetViews>
  <sheetFormatPr baseColWidth="10" defaultColWidth="5.83203125" defaultRowHeight="14"/>
  <cols>
    <col min="1" max="1" width="1.5" customWidth="1"/>
    <col min="2" max="2" width="30.1640625" customWidth="1"/>
    <col min="3" max="3" width="2.5" hidden="1" customWidth="1"/>
    <col min="4" max="4" width="8.33203125" style="1" customWidth="1"/>
    <col min="5" max="5" width="9.1640625" customWidth="1"/>
    <col min="6" max="6" width="10" customWidth="1"/>
    <col min="7" max="7" width="9.33203125" customWidth="1"/>
    <col min="8" max="8" width="12.83203125" customWidth="1"/>
    <col min="9" max="9" width="12.1640625" customWidth="1"/>
    <col min="10" max="11" width="9.1640625" customWidth="1"/>
    <col min="12" max="12" width="9.6640625" customWidth="1"/>
    <col min="13" max="13" width="8.83203125" customWidth="1"/>
    <col min="14" max="14" width="7.6640625" customWidth="1"/>
    <col min="15" max="15" width="8.6640625" customWidth="1"/>
    <col min="16" max="16" width="8.1640625" customWidth="1"/>
    <col min="17" max="17" width="8.5" customWidth="1"/>
    <col min="18" max="18" width="9" customWidth="1"/>
    <col min="19" max="19" width="10" customWidth="1"/>
    <col min="20" max="20" width="10.1640625" customWidth="1"/>
    <col min="21" max="21" width="1" style="2" customWidth="1"/>
    <col min="22" max="23" width="10.1640625" style="2" customWidth="1"/>
    <col min="24" max="24" width="1.1640625" style="2" customWidth="1"/>
    <col min="25" max="25" width="10.1640625" style="2" customWidth="1"/>
    <col min="26" max="26" width="9.6640625" style="2" customWidth="1"/>
    <col min="27" max="27" width="9.33203125" style="2" customWidth="1"/>
    <col min="28" max="28" width="11.6640625" style="2" customWidth="1"/>
    <col min="29" max="29" width="1.33203125" style="2" customWidth="1"/>
    <col min="30" max="30" width="13.83203125" style="3" customWidth="1"/>
    <col min="31" max="31" width="13.6640625" style="3" customWidth="1"/>
    <col min="32" max="32" width="1.33203125" customWidth="1"/>
    <col min="33" max="33" width="14.1640625" customWidth="1"/>
  </cols>
  <sheetData>
    <row r="1" spans="2:33">
      <c r="B1" s="94" t="s">
        <v>52</v>
      </c>
    </row>
    <row r="3" spans="2:33">
      <c r="B3" s="95" t="s">
        <v>53</v>
      </c>
    </row>
    <row r="4" spans="2:33">
      <c r="B4" t="s">
        <v>51</v>
      </c>
    </row>
    <row r="5" spans="2:33" ht="15" thickBot="1">
      <c r="B5" s="93">
        <v>40066</v>
      </c>
    </row>
    <row r="6" spans="2:33" s="5" customFormat="1" ht="15" thickBot="1">
      <c r="B6" s="4"/>
      <c r="D6" s="6"/>
      <c r="E6" s="117" t="s">
        <v>20</v>
      </c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9"/>
      <c r="Q6" s="120" t="s">
        <v>21</v>
      </c>
      <c r="R6" s="121"/>
      <c r="S6" s="121"/>
      <c r="T6" s="122"/>
      <c r="U6" s="7"/>
      <c r="V6" s="123" t="s">
        <v>22</v>
      </c>
      <c r="W6" s="124"/>
      <c r="X6" s="8"/>
      <c r="Y6" s="123" t="s">
        <v>23</v>
      </c>
      <c r="Z6" s="125"/>
      <c r="AA6" s="125"/>
      <c r="AB6" s="124"/>
      <c r="AC6" s="9"/>
      <c r="AD6" s="123" t="s">
        <v>24</v>
      </c>
      <c r="AE6" s="124"/>
      <c r="AG6" s="10" t="s">
        <v>54</v>
      </c>
    </row>
    <row r="7" spans="2:33" s="11" customFormat="1" ht="28" customHeight="1">
      <c r="D7" s="12"/>
      <c r="E7" s="11" t="s">
        <v>25</v>
      </c>
      <c r="F7" s="11" t="s">
        <v>26</v>
      </c>
      <c r="G7" s="13" t="s">
        <v>27</v>
      </c>
      <c r="H7" s="11" t="s">
        <v>25</v>
      </c>
      <c r="I7" s="11" t="s">
        <v>26</v>
      </c>
      <c r="J7" s="13" t="s">
        <v>27</v>
      </c>
      <c r="K7" s="11" t="s">
        <v>28</v>
      </c>
      <c r="L7" s="13" t="s">
        <v>29</v>
      </c>
      <c r="M7" s="11" t="s">
        <v>30</v>
      </c>
      <c r="N7" s="13" t="s">
        <v>31</v>
      </c>
      <c r="O7" s="11" t="s">
        <v>32</v>
      </c>
      <c r="P7" s="13" t="s">
        <v>33</v>
      </c>
      <c r="Q7" s="14" t="s">
        <v>34</v>
      </c>
      <c r="R7" s="14" t="s">
        <v>35</v>
      </c>
      <c r="S7" s="14" t="s">
        <v>36</v>
      </c>
      <c r="T7" s="15" t="s">
        <v>37</v>
      </c>
      <c r="U7" s="16"/>
      <c r="V7" s="17" t="s">
        <v>38</v>
      </c>
      <c r="W7" s="18" t="s">
        <v>39</v>
      </c>
      <c r="X7" s="16"/>
      <c r="Y7" s="19" t="s">
        <v>40</v>
      </c>
      <c r="Z7" s="20" t="s">
        <v>41</v>
      </c>
      <c r="AA7" s="20" t="s">
        <v>42</v>
      </c>
      <c r="AB7" s="18" t="s">
        <v>43</v>
      </c>
      <c r="AC7" s="16"/>
      <c r="AD7" s="17" t="s">
        <v>44</v>
      </c>
      <c r="AE7" s="15" t="s">
        <v>45</v>
      </c>
      <c r="AG7" s="21" t="s">
        <v>46</v>
      </c>
    </row>
    <row r="8" spans="2:33" s="22" customFormat="1" ht="12">
      <c r="B8" s="11" t="s">
        <v>47</v>
      </c>
      <c r="C8" s="22" t="s">
        <v>48</v>
      </c>
      <c r="D8" s="23" t="s">
        <v>49</v>
      </c>
      <c r="E8" s="22">
        <v>-11.4933</v>
      </c>
      <c r="F8" s="22">
        <v>-11.4933</v>
      </c>
      <c r="G8" s="24">
        <v>-11.4933</v>
      </c>
      <c r="H8" s="22">
        <v>-11.4933</v>
      </c>
      <c r="I8" s="22">
        <v>-11.4933</v>
      </c>
      <c r="J8" s="24">
        <v>-11.4933</v>
      </c>
      <c r="K8" s="22">
        <v>-11.4933</v>
      </c>
      <c r="L8" s="24">
        <v>-11.4933</v>
      </c>
      <c r="M8" s="22">
        <v>-11.4933</v>
      </c>
      <c r="N8" s="24">
        <v>-11.4933</v>
      </c>
      <c r="O8" s="22">
        <v>-11.4933</v>
      </c>
      <c r="P8" s="24">
        <v>-11.4933</v>
      </c>
      <c r="Q8" s="22">
        <v>-11.4933</v>
      </c>
      <c r="R8" s="22">
        <v>-11.4933</v>
      </c>
      <c r="S8" s="22">
        <v>-11.4933</v>
      </c>
      <c r="T8" s="24">
        <v>-11.4933</v>
      </c>
      <c r="U8" s="25"/>
      <c r="V8" s="26">
        <v>-11.4933</v>
      </c>
      <c r="W8" s="24">
        <v>-11.4933</v>
      </c>
      <c r="X8" s="27"/>
      <c r="Y8" s="26">
        <v>-11.4933</v>
      </c>
      <c r="Z8" s="27">
        <v>-11.4933</v>
      </c>
      <c r="AA8" s="27">
        <v>-11.4933</v>
      </c>
      <c r="AB8" s="24">
        <v>-11.4933</v>
      </c>
      <c r="AC8" s="27"/>
      <c r="AD8" s="26">
        <v>-11.4808</v>
      </c>
      <c r="AE8" s="24">
        <v>-11.505800000000001</v>
      </c>
      <c r="AG8" s="28">
        <v>-11.4933</v>
      </c>
    </row>
    <row r="9" spans="2:33" s="108" customFormat="1" ht="24">
      <c r="B9" s="107" t="s">
        <v>6</v>
      </c>
      <c r="C9" s="108" t="s">
        <v>7</v>
      </c>
      <c r="D9" s="109" t="s">
        <v>49</v>
      </c>
      <c r="E9" s="108">
        <f t="shared" ref="E9:AB9" si="0">519.2*10^-3</f>
        <v>0.51920000000000011</v>
      </c>
      <c r="F9" s="108">
        <f t="shared" si="0"/>
        <v>0.51920000000000011</v>
      </c>
      <c r="G9" s="110">
        <f t="shared" si="0"/>
        <v>0.51920000000000011</v>
      </c>
      <c r="H9" s="108">
        <f t="shared" si="0"/>
        <v>0.51920000000000011</v>
      </c>
      <c r="I9" s="108">
        <f t="shared" si="0"/>
        <v>0.51920000000000011</v>
      </c>
      <c r="J9" s="110">
        <f t="shared" si="0"/>
        <v>0.51920000000000011</v>
      </c>
      <c r="K9" s="108">
        <f t="shared" si="0"/>
        <v>0.51920000000000011</v>
      </c>
      <c r="L9" s="110">
        <f t="shared" si="0"/>
        <v>0.51920000000000011</v>
      </c>
      <c r="M9" s="108">
        <f t="shared" si="0"/>
        <v>0.51920000000000011</v>
      </c>
      <c r="N9" s="110">
        <f t="shared" si="0"/>
        <v>0.51920000000000011</v>
      </c>
      <c r="O9" s="108">
        <f t="shared" si="0"/>
        <v>0.51920000000000011</v>
      </c>
      <c r="P9" s="110">
        <f t="shared" si="0"/>
        <v>0.51920000000000011</v>
      </c>
      <c r="Q9" s="108">
        <f t="shared" si="0"/>
        <v>0.51920000000000011</v>
      </c>
      <c r="R9" s="108">
        <f t="shared" si="0"/>
        <v>0.51920000000000011</v>
      </c>
      <c r="S9" s="108">
        <f t="shared" si="0"/>
        <v>0.51920000000000011</v>
      </c>
      <c r="T9" s="110">
        <f t="shared" si="0"/>
        <v>0.51920000000000011</v>
      </c>
      <c r="U9" s="111"/>
      <c r="V9" s="112">
        <f>(519.2+2)*10^-3</f>
        <v>0.52120000000000011</v>
      </c>
      <c r="W9" s="110">
        <f>(519.2-2)*10^-3</f>
        <v>0.5172000000000001</v>
      </c>
      <c r="X9" s="113"/>
      <c r="Y9" s="112">
        <f t="shared" si="0"/>
        <v>0.51920000000000011</v>
      </c>
      <c r="Z9" s="113">
        <f t="shared" si="0"/>
        <v>0.51920000000000011</v>
      </c>
      <c r="AA9" s="113">
        <f t="shared" si="0"/>
        <v>0.51920000000000011</v>
      </c>
      <c r="AB9" s="110">
        <f t="shared" si="0"/>
        <v>0.51920000000000011</v>
      </c>
      <c r="AC9" s="113"/>
      <c r="AD9" s="112">
        <f>519.2*10^-3</f>
        <v>0.51920000000000011</v>
      </c>
      <c r="AE9" s="110">
        <f>519.2*10^-3</f>
        <v>0.51920000000000011</v>
      </c>
      <c r="AG9" s="114">
        <f>519.2*10^-3</f>
        <v>0.51920000000000011</v>
      </c>
    </row>
    <row r="10" spans="2:33" s="22" customFormat="1" ht="12">
      <c r="B10" s="11" t="s">
        <v>8</v>
      </c>
      <c r="C10" s="22" t="s">
        <v>9</v>
      </c>
      <c r="D10" s="23" t="s">
        <v>10</v>
      </c>
      <c r="E10" s="29">
        <f>-34.649/2</f>
        <v>-17.3245</v>
      </c>
      <c r="F10" s="29">
        <f>-34.597/2</f>
        <v>-17.298500000000001</v>
      </c>
      <c r="G10" s="30">
        <f>-35.037/2</f>
        <v>-17.5185</v>
      </c>
      <c r="H10" s="29">
        <f>-24.602/2</f>
        <v>-12.301</v>
      </c>
      <c r="I10" s="29">
        <f>-24.934/2</f>
        <v>-12.467000000000001</v>
      </c>
      <c r="J10" s="30">
        <f>-25.336/2</f>
        <v>-12.667999999999999</v>
      </c>
      <c r="K10" s="29">
        <f>-23.998/2</f>
        <v>-11.999000000000001</v>
      </c>
      <c r="L10" s="30">
        <f>-24.277/2</f>
        <v>-12.138500000000001</v>
      </c>
      <c r="M10" s="29">
        <f>-25.296/2</f>
        <v>-12.648</v>
      </c>
      <c r="N10" s="30">
        <f>-25.666/2</f>
        <v>-12.833</v>
      </c>
      <c r="O10" s="29">
        <f>-25.518/2</f>
        <v>-12.759</v>
      </c>
      <c r="P10" s="30">
        <f>-25.768/2</f>
        <v>-12.884</v>
      </c>
      <c r="Q10" s="29">
        <f>-24.867/2</f>
        <v>-12.4335</v>
      </c>
      <c r="R10" s="29">
        <f>-24.216/2</f>
        <v>-12.108000000000001</v>
      </c>
      <c r="S10" s="29">
        <f>-24.571/2</f>
        <v>-12.285500000000001</v>
      </c>
      <c r="T10" s="30">
        <f>-25.632/2</f>
        <v>-12.816000000000001</v>
      </c>
      <c r="U10" s="31"/>
      <c r="V10" s="32">
        <f>-24.867/2</f>
        <v>-12.4335</v>
      </c>
      <c r="W10" s="30">
        <f>-24.867/2</f>
        <v>-12.4335</v>
      </c>
      <c r="X10" s="33"/>
      <c r="Y10" s="32">
        <f>-25.177/2</f>
        <v>-12.5885</v>
      </c>
      <c r="Z10" s="33">
        <f>-23.42/2</f>
        <v>-11.71</v>
      </c>
      <c r="AA10" s="33">
        <f>-24.312/2</f>
        <v>-12.156000000000001</v>
      </c>
      <c r="AB10" s="30">
        <f>-24.325/2</f>
        <v>-12.1625</v>
      </c>
      <c r="AC10" s="33"/>
      <c r="AD10" s="32">
        <f>-24.867/2</f>
        <v>-12.4335</v>
      </c>
      <c r="AE10" s="30">
        <f>-24.867/2</f>
        <v>-12.4335</v>
      </c>
      <c r="AG10" s="34">
        <f>-1.619/2</f>
        <v>-0.8095</v>
      </c>
    </row>
    <row r="11" spans="2:33" s="22" customFormat="1" ht="12">
      <c r="B11" s="11" t="s">
        <v>11</v>
      </c>
      <c r="D11" s="23" t="s">
        <v>12</v>
      </c>
      <c r="E11" s="35">
        <v>50.1</v>
      </c>
      <c r="F11" s="35">
        <v>50.1</v>
      </c>
      <c r="G11" s="36">
        <v>50.1</v>
      </c>
      <c r="H11" s="22">
        <v>30.1</v>
      </c>
      <c r="I11" s="22">
        <v>30.1</v>
      </c>
      <c r="J11" s="24">
        <v>30.1</v>
      </c>
      <c r="K11" s="22">
        <v>30.1</v>
      </c>
      <c r="L11" s="24">
        <v>30.1</v>
      </c>
      <c r="M11" s="22">
        <v>30.1</v>
      </c>
      <c r="N11" s="24">
        <v>30.1</v>
      </c>
      <c r="O11" s="22">
        <v>30.1</v>
      </c>
      <c r="P11" s="24">
        <v>30.1</v>
      </c>
      <c r="Q11" s="22">
        <v>30.1</v>
      </c>
      <c r="R11" s="22">
        <v>30.1</v>
      </c>
      <c r="S11" s="22">
        <v>30.1</v>
      </c>
      <c r="T11" s="24">
        <v>30.1</v>
      </c>
      <c r="U11" s="25"/>
      <c r="V11" s="26">
        <v>30.1</v>
      </c>
      <c r="W11" s="24">
        <v>30.1</v>
      </c>
      <c r="X11" s="27"/>
      <c r="Y11" s="26">
        <v>30.1</v>
      </c>
      <c r="Z11" s="27">
        <v>30.1</v>
      </c>
      <c r="AA11" s="27">
        <v>30.1</v>
      </c>
      <c r="AB11" s="24">
        <v>30.1</v>
      </c>
      <c r="AC11" s="27"/>
      <c r="AD11" s="26">
        <v>30.1</v>
      </c>
      <c r="AE11" s="24">
        <v>30.1</v>
      </c>
      <c r="AG11" s="28">
        <v>30.1</v>
      </c>
    </row>
    <row r="12" spans="2:33" s="22" customFormat="1" ht="12">
      <c r="B12" s="11"/>
      <c r="D12" s="23"/>
      <c r="G12" s="24"/>
      <c r="J12" s="24"/>
      <c r="L12" s="24"/>
      <c r="N12" s="24"/>
      <c r="P12" s="24"/>
      <c r="T12" s="24"/>
      <c r="U12" s="25"/>
      <c r="V12" s="26"/>
      <c r="W12" s="24"/>
      <c r="X12" s="27"/>
      <c r="Y12" s="26"/>
      <c r="Z12" s="27"/>
      <c r="AA12" s="27"/>
      <c r="AB12" s="24"/>
      <c r="AC12" s="27"/>
      <c r="AD12" s="26"/>
      <c r="AE12" s="24"/>
      <c r="AG12" s="28"/>
    </row>
    <row r="13" spans="2:33" s="22" customFormat="1" ht="12">
      <c r="B13" s="11" t="s">
        <v>13</v>
      </c>
      <c r="D13" s="23" t="s">
        <v>12</v>
      </c>
      <c r="E13" s="22">
        <f t="shared" ref="E13:T13" si="1">((E11)^2)/((8*(E8+E9)*1000))+(2*E10*0.000001)</f>
        <v>-2.8624806735030667E-2</v>
      </c>
      <c r="F13" s="22">
        <f t="shared" si="1"/>
        <v>-2.8624754735030667E-2</v>
      </c>
      <c r="G13" s="24">
        <f t="shared" si="1"/>
        <v>-2.8625194735030668E-2</v>
      </c>
      <c r="H13" s="22">
        <f t="shared" si="1"/>
        <v>-1.0344468777230024E-2</v>
      </c>
      <c r="I13" s="22">
        <f t="shared" si="1"/>
        <v>-1.0344800777230025E-2</v>
      </c>
      <c r="J13" s="24">
        <f t="shared" si="1"/>
        <v>-1.0345202777230025E-2</v>
      </c>
      <c r="K13" s="22">
        <f t="shared" si="1"/>
        <v>-1.0343864777230025E-2</v>
      </c>
      <c r="L13" s="24">
        <f t="shared" si="1"/>
        <v>-1.0344143777230023E-2</v>
      </c>
      <c r="M13" s="22">
        <f t="shared" si="1"/>
        <v>-1.0345162777230023E-2</v>
      </c>
      <c r="N13" s="24">
        <f t="shared" si="1"/>
        <v>-1.0345532777230024E-2</v>
      </c>
      <c r="O13" s="22">
        <f t="shared" si="1"/>
        <v>-1.0345384777230024E-2</v>
      </c>
      <c r="P13" s="24">
        <f t="shared" si="1"/>
        <v>-1.0345634777230025E-2</v>
      </c>
      <c r="Q13" s="22">
        <f t="shared" si="1"/>
        <v>-1.0344733777230023E-2</v>
      </c>
      <c r="R13" s="22">
        <f t="shared" si="1"/>
        <v>-1.0344082777230024E-2</v>
      </c>
      <c r="S13" s="22">
        <f t="shared" si="1"/>
        <v>-1.0344437777230023E-2</v>
      </c>
      <c r="T13" s="24">
        <f t="shared" si="1"/>
        <v>-1.0345498777230023E-2</v>
      </c>
      <c r="U13" s="25"/>
      <c r="V13" s="26">
        <f>((V11)^2)/((8*(V8+V9)*1000))+(2*V10*0.000001)</f>
        <v>-1.0346614887824575E-2</v>
      </c>
      <c r="W13" s="24">
        <f>((W11)^2)/((8*(W8+W9)*1000))+(2*W10*0.000001)</f>
        <v>-1.0342853352165161E-2</v>
      </c>
      <c r="X13" s="27"/>
      <c r="Y13" s="26">
        <f>((Y11)^2)/((8*(Y8+Y9)*1000))+(2*Y10*0.000001)</f>
        <v>-1.0345043777230023E-2</v>
      </c>
      <c r="Z13" s="27">
        <f>((Z11)^2)/((8*(Z8+Z9)*1000))+(2*Z10*0.000001)</f>
        <v>-1.0343286777230024E-2</v>
      </c>
      <c r="AA13" s="27">
        <f>((AA11)^2)/((8*(AA8+AA9)*1000))+(2*AA10*0.000001)</f>
        <v>-1.0344178777230024E-2</v>
      </c>
      <c r="AB13" s="24">
        <f>((AB11)^2)/((8*(AB8+AB9)*1000))+(2*AB10*0.000001)</f>
        <v>-1.0344191777230024E-2</v>
      </c>
      <c r="AC13" s="27"/>
      <c r="AD13" s="26">
        <f>((AD11)^2)/((8*(AD8+AD9)*1000))+(2*AD10*0.000001)</f>
        <v>-1.0356501980294848E-2</v>
      </c>
      <c r="AE13" s="24">
        <f>((AE11)^2)/((8*(AE8+AE9)*1000))+(2*AE10*0.000001)</f>
        <v>-1.0332992352702384E-2</v>
      </c>
      <c r="AG13" s="28">
        <f>((AG11)^2)/((8*(AG8+AG9)*1000))+(2*AG10*0.000001)</f>
        <v>-1.0321485777230023E-2</v>
      </c>
    </row>
    <row r="14" spans="2:33" s="37" customFormat="1" ht="12">
      <c r="B14" s="92" t="s">
        <v>50</v>
      </c>
      <c r="D14" s="38"/>
      <c r="E14" s="37">
        <v>1</v>
      </c>
      <c r="F14" s="37">
        <v>2</v>
      </c>
      <c r="G14" s="39">
        <v>3</v>
      </c>
      <c r="H14" s="37">
        <v>4</v>
      </c>
      <c r="I14" s="37">
        <v>5</v>
      </c>
      <c r="J14" s="39">
        <v>6</v>
      </c>
      <c r="K14" s="37">
        <v>7</v>
      </c>
      <c r="L14" s="39">
        <v>8</v>
      </c>
      <c r="M14" s="37">
        <v>9</v>
      </c>
      <c r="N14" s="39">
        <v>10</v>
      </c>
      <c r="O14" s="37">
        <v>11</v>
      </c>
      <c r="P14" s="39">
        <v>12</v>
      </c>
      <c r="Q14" s="37">
        <v>13</v>
      </c>
      <c r="R14" s="37">
        <v>14</v>
      </c>
      <c r="S14" s="37">
        <v>15</v>
      </c>
      <c r="T14" s="39">
        <v>16</v>
      </c>
      <c r="U14" s="40"/>
      <c r="V14" s="41">
        <v>18</v>
      </c>
      <c r="W14" s="39">
        <v>19</v>
      </c>
      <c r="X14" s="42"/>
      <c r="Y14" s="41">
        <v>21</v>
      </c>
      <c r="Z14" s="42">
        <v>22</v>
      </c>
      <c r="AA14" s="42">
        <v>23</v>
      </c>
      <c r="AB14" s="39">
        <v>24</v>
      </c>
      <c r="AC14" s="42"/>
      <c r="AD14" s="43">
        <v>26</v>
      </c>
      <c r="AE14" s="44">
        <v>27</v>
      </c>
      <c r="AG14" s="45">
        <v>29</v>
      </c>
    </row>
    <row r="15" spans="2:33" s="22" customFormat="1" ht="13" thickBot="1">
      <c r="B15" s="46" t="s">
        <v>14</v>
      </c>
      <c r="C15" s="47"/>
      <c r="D15" s="48" t="s">
        <v>49</v>
      </c>
      <c r="E15" s="49">
        <f t="shared" ref="E15:T15" si="2">(E11^2)/(8*E13*1000)</f>
        <v>-10.960816361286916</v>
      </c>
      <c r="F15" s="49">
        <f t="shared" si="2"/>
        <v>-10.960836272809514</v>
      </c>
      <c r="G15" s="50">
        <f t="shared" si="2"/>
        <v>-10.960667792978906</v>
      </c>
      <c r="H15" s="51">
        <f t="shared" si="2"/>
        <v>-10.948000563285158</v>
      </c>
      <c r="I15" s="51">
        <f t="shared" si="2"/>
        <v>-10.947649204543186</v>
      </c>
      <c r="J15" s="52">
        <f t="shared" si="2"/>
        <v>-10.947223794324072</v>
      </c>
      <c r="K15" s="51">
        <f t="shared" si="2"/>
        <v>-10.94863984004318</v>
      </c>
      <c r="L15" s="52">
        <f t="shared" si="2"/>
        <v>-10.948344535706624</v>
      </c>
      <c r="M15" s="51">
        <f t="shared" si="2"/>
        <v>-10.947266122217913</v>
      </c>
      <c r="N15" s="52">
        <f t="shared" si="2"/>
        <v>-10.946874601688961</v>
      </c>
      <c r="O15" s="51">
        <f t="shared" si="2"/>
        <v>-10.947031206539911</v>
      </c>
      <c r="P15" s="52">
        <f t="shared" si="2"/>
        <v>-10.946766673926826</v>
      </c>
      <c r="Q15" s="51">
        <f t="shared" si="2"/>
        <v>-10.947720109460848</v>
      </c>
      <c r="R15" s="51">
        <f t="shared" si="2"/>
        <v>-10.94840909909335</v>
      </c>
      <c r="S15" s="51">
        <f t="shared" si="2"/>
        <v>-10.948033372029794</v>
      </c>
      <c r="T15" s="52">
        <f t="shared" si="2"/>
        <v>-10.946910578082607</v>
      </c>
      <c r="U15" s="53"/>
      <c r="V15" s="54">
        <f>(V11^2)/(8*V13*1000)</f>
        <v>-10.945729712359249</v>
      </c>
      <c r="W15" s="52">
        <f>(W11^2)/(8*W13*1000)</f>
        <v>-10.949710504818492</v>
      </c>
      <c r="X15" s="55"/>
      <c r="Y15" s="54">
        <f>(Y11^2)/(8*Y13*1000)</f>
        <v>-10.947392049637516</v>
      </c>
      <c r="Z15" s="55">
        <f>(Z11^2)/(8*Z13*1000)</f>
        <v>-10.949251668175171</v>
      </c>
      <c r="AA15" s="55">
        <f>(AA11^2)/(8*AA13*1000)</f>
        <v>-10.948307491484265</v>
      </c>
      <c r="AB15" s="52">
        <f>(AB11^2)/(8*AB13*1000)</f>
        <v>-10.948293732265521</v>
      </c>
      <c r="AC15" s="55"/>
      <c r="AD15" s="54">
        <f>(AD11^2)/(8*AD13*1000)</f>
        <v>-10.93528009896405</v>
      </c>
      <c r="AE15" s="52">
        <f>(AE11^2)/(8*AE13*1000)</f>
        <v>-10.960160051834496</v>
      </c>
      <c r="AG15" s="56">
        <f>(AG11^2)/(8*AG13*1000)</f>
        <v>-10.972378632719799</v>
      </c>
    </row>
    <row r="16" spans="2:33" s="58" customFormat="1">
      <c r="B16" s="57"/>
      <c r="D16" s="59"/>
      <c r="E16" s="60"/>
      <c r="F16" s="60"/>
      <c r="G16" s="61"/>
      <c r="H16" s="126">
        <f>AVERAGE(H15:P15)</f>
        <v>-10.947532949141761</v>
      </c>
      <c r="I16" s="127"/>
      <c r="J16" s="127"/>
      <c r="K16" s="127"/>
      <c r="L16" s="127"/>
      <c r="M16" s="127"/>
      <c r="N16" s="127"/>
      <c r="O16" s="127"/>
      <c r="P16" s="128"/>
      <c r="Q16" s="129">
        <f>AVERAGE(Q15:T15)</f>
        <v>-10.947768289666651</v>
      </c>
      <c r="R16" s="130"/>
      <c r="S16" s="130"/>
      <c r="T16" s="131"/>
      <c r="U16" s="62"/>
      <c r="V16" s="63">
        <f>(V15-Q15)*1000</f>
        <v>1.9903971015988731</v>
      </c>
      <c r="W16" s="64">
        <f>(W15-Q15)*1000</f>
        <v>-1.9903953576445588</v>
      </c>
      <c r="X16" s="65"/>
      <c r="Y16" s="64">
        <f>(Y15-Q15)*1000</f>
        <v>0.32805982333172778</v>
      </c>
      <c r="Z16" s="64">
        <f>(Z15-Q15)*1000</f>
        <v>-1.531558714322756</v>
      </c>
      <c r="AA16" s="64">
        <f>(AA15-Q15)*1000</f>
        <v>-0.58738202341679369</v>
      </c>
      <c r="AB16" s="64">
        <f>(AB15-Q15)*1000</f>
        <v>-0.57362280467287974</v>
      </c>
      <c r="AC16" s="65"/>
      <c r="AD16" s="64">
        <f>(AD15-Q15)*1000</f>
        <v>12.440010496797882</v>
      </c>
      <c r="AE16" s="66">
        <f>(AE15-Q15)*1000</f>
        <v>-12.439942373648094</v>
      </c>
      <c r="AF16" s="67"/>
    </row>
    <row r="17" spans="2:31" s="68" customFormat="1">
      <c r="U17" s="69"/>
      <c r="V17" s="70"/>
      <c r="W17" s="69"/>
      <c r="X17" s="69"/>
      <c r="Y17" s="69"/>
      <c r="Z17" s="69"/>
      <c r="AA17" s="69"/>
      <c r="AB17" s="69"/>
      <c r="AC17" s="69"/>
      <c r="AD17" s="132" t="s">
        <v>15</v>
      </c>
      <c r="AE17" s="133"/>
    </row>
    <row r="18" spans="2:31" s="76" customFormat="1" ht="12">
      <c r="B18" s="71" t="s">
        <v>16</v>
      </c>
      <c r="C18" s="72"/>
      <c r="D18" s="73" t="s">
        <v>17</v>
      </c>
      <c r="E18" s="74">
        <v>-11</v>
      </c>
      <c r="F18" s="75"/>
      <c r="U18" s="77"/>
      <c r="V18" s="70"/>
      <c r="W18" s="69"/>
      <c r="X18" s="69"/>
      <c r="Y18" s="69"/>
      <c r="Z18" s="69"/>
      <c r="AA18" s="69"/>
      <c r="AB18" s="69"/>
      <c r="AC18" s="69"/>
      <c r="AD18" s="78">
        <f>V16+Y16+AD16</f>
        <v>14.758467421728483</v>
      </c>
      <c r="AE18" s="115" t="s">
        <v>18</v>
      </c>
    </row>
    <row r="19" spans="2:31" s="22" customFormat="1" ht="13" thickBot="1">
      <c r="B19" s="79"/>
      <c r="C19" s="80"/>
      <c r="D19" s="80" t="s">
        <v>19</v>
      </c>
      <c r="E19" s="81">
        <f>E18+0.11</f>
        <v>-10.89</v>
      </c>
      <c r="F19" s="82"/>
      <c r="U19" s="25"/>
      <c r="V19" s="83"/>
      <c r="W19" s="84"/>
      <c r="X19" s="84"/>
      <c r="Y19" s="84"/>
      <c r="Z19" s="84"/>
      <c r="AA19" s="84"/>
      <c r="AB19" s="84"/>
      <c r="AC19" s="84"/>
      <c r="AD19" s="85">
        <f>W16+Z16+AA16+AB16+AE16</f>
        <v>-17.122901273705082</v>
      </c>
      <c r="AE19" s="116"/>
    </row>
    <row r="20" spans="2:31" s="22" customFormat="1" ht="17">
      <c r="B20" s="86"/>
      <c r="C20" s="87"/>
      <c r="D20" s="88"/>
      <c r="E20" s="89">
        <f>E18-0.11</f>
        <v>-11.11</v>
      </c>
      <c r="H20" s="106" t="s">
        <v>0</v>
      </c>
      <c r="I20" s="96">
        <f>Q16</f>
        <v>-10.947768289666651</v>
      </c>
      <c r="J20" s="97" t="s">
        <v>3</v>
      </c>
      <c r="K20" s="98"/>
      <c r="L20" s="98" t="s">
        <v>1</v>
      </c>
      <c r="M20" s="99">
        <f>AD19</f>
        <v>-17.122901273705082</v>
      </c>
      <c r="N20" s="100" t="s">
        <v>2</v>
      </c>
      <c r="U20" s="25"/>
      <c r="V20" s="25"/>
      <c r="W20" s="25"/>
      <c r="X20" s="25"/>
      <c r="Y20" s="25"/>
      <c r="Z20" s="25"/>
      <c r="AA20" s="25"/>
      <c r="AB20" s="25"/>
      <c r="AC20" s="25"/>
      <c r="AD20" s="90"/>
      <c r="AE20" s="90"/>
    </row>
    <row r="21" spans="2:31" s="22" customFormat="1" ht="18" thickBot="1">
      <c r="D21" s="23"/>
      <c r="E21" s="91"/>
      <c r="H21" s="101"/>
      <c r="I21" s="102"/>
      <c r="J21" s="102"/>
      <c r="K21" s="102"/>
      <c r="L21" s="103" t="s">
        <v>5</v>
      </c>
      <c r="M21" s="104">
        <f>AD18</f>
        <v>14.758467421728483</v>
      </c>
      <c r="N21" s="105" t="s">
        <v>4</v>
      </c>
      <c r="U21" s="25"/>
      <c r="V21" s="25"/>
      <c r="W21" s="25"/>
      <c r="X21" s="25"/>
      <c r="Y21" s="25"/>
      <c r="Z21" s="25"/>
      <c r="AA21" s="25"/>
      <c r="AB21" s="25"/>
      <c r="AC21" s="25"/>
      <c r="AD21" s="90"/>
      <c r="AE21" s="90"/>
    </row>
    <row r="22" spans="2:31" s="22" customFormat="1" ht="12">
      <c r="D22" s="23"/>
      <c r="U22" s="25"/>
      <c r="V22" s="25"/>
      <c r="W22" s="25"/>
      <c r="X22" s="25"/>
      <c r="Y22" s="25"/>
      <c r="Z22" s="25"/>
      <c r="AA22" s="25"/>
      <c r="AB22" s="25"/>
      <c r="AC22" s="25"/>
      <c r="AD22" s="90"/>
      <c r="AE22" s="90"/>
    </row>
    <row r="23" spans="2:31" s="22" customFormat="1" ht="12">
      <c r="D23" s="23"/>
      <c r="U23" s="25"/>
      <c r="V23" s="25"/>
      <c r="W23" s="25"/>
      <c r="X23" s="25"/>
      <c r="Y23" s="25"/>
      <c r="Z23" s="25"/>
      <c r="AA23" s="25"/>
      <c r="AB23" s="25"/>
      <c r="AC23" s="25"/>
      <c r="AD23" s="90"/>
      <c r="AE23" s="90"/>
    </row>
    <row r="24" spans="2:31" s="22" customFormat="1" ht="12">
      <c r="D24" s="23"/>
      <c r="U24" s="25"/>
      <c r="V24" s="25"/>
      <c r="W24" s="25"/>
      <c r="X24" s="25"/>
      <c r="Y24" s="25"/>
      <c r="Z24" s="25"/>
      <c r="AA24" s="25"/>
      <c r="AB24" s="25"/>
      <c r="AC24" s="25"/>
      <c r="AD24" s="90"/>
      <c r="AE24" s="90"/>
    </row>
    <row r="25" spans="2:31" s="22" customFormat="1" ht="12">
      <c r="D25" s="23"/>
      <c r="U25" s="25"/>
      <c r="V25" s="25"/>
      <c r="W25" s="25"/>
      <c r="X25" s="25"/>
      <c r="Y25" s="25"/>
      <c r="Z25" s="25"/>
      <c r="AA25" s="25"/>
      <c r="AB25" s="25"/>
      <c r="AC25" s="25"/>
      <c r="AD25" s="90"/>
      <c r="AE25" s="90"/>
    </row>
    <row r="26" spans="2:31" s="22" customFormat="1" ht="12">
      <c r="D26" s="23"/>
      <c r="U26" s="25"/>
      <c r="V26" s="25"/>
      <c r="W26" s="25"/>
      <c r="X26" s="25"/>
      <c r="Y26" s="25"/>
      <c r="Z26" s="25"/>
      <c r="AA26" s="25"/>
      <c r="AB26" s="25"/>
      <c r="AC26" s="25"/>
      <c r="AD26" s="90"/>
      <c r="AE26" s="90"/>
    </row>
    <row r="27" spans="2:31" s="22" customFormat="1" ht="12">
      <c r="D27" s="23"/>
      <c r="U27" s="25"/>
      <c r="V27" s="25"/>
      <c r="W27" s="25"/>
      <c r="X27" s="25"/>
      <c r="Y27" s="25"/>
      <c r="Z27" s="25"/>
      <c r="AA27" s="25"/>
      <c r="AB27" s="25"/>
      <c r="AC27" s="25"/>
      <c r="AD27" s="90"/>
      <c r="AE27" s="90"/>
    </row>
    <row r="28" spans="2:31" s="22" customFormat="1" ht="12">
      <c r="D28" s="23"/>
      <c r="U28" s="25"/>
      <c r="V28" s="25"/>
      <c r="W28" s="25"/>
      <c r="X28" s="25"/>
      <c r="Y28" s="25"/>
      <c r="Z28" s="25"/>
      <c r="AA28" s="25"/>
      <c r="AB28" s="25"/>
      <c r="AC28" s="25"/>
      <c r="AD28" s="90"/>
      <c r="AE28" s="90"/>
    </row>
    <row r="29" spans="2:31" s="22" customFormat="1" ht="12">
      <c r="D29" s="23"/>
      <c r="U29" s="25"/>
      <c r="V29" s="25"/>
      <c r="W29" s="25"/>
      <c r="X29" s="25"/>
      <c r="Y29" s="25"/>
      <c r="Z29" s="25"/>
      <c r="AA29" s="25"/>
      <c r="AB29" s="25"/>
      <c r="AC29" s="25"/>
      <c r="AD29" s="90"/>
      <c r="AE29" s="90"/>
    </row>
    <row r="30" spans="2:31" s="22" customFormat="1" ht="12">
      <c r="D30" s="23"/>
      <c r="U30" s="25"/>
      <c r="V30" s="25"/>
      <c r="W30" s="25"/>
      <c r="X30" s="25"/>
      <c r="Y30" s="25"/>
      <c r="Z30" s="25"/>
      <c r="AA30" s="25"/>
      <c r="AB30" s="25"/>
      <c r="AC30" s="25"/>
      <c r="AD30" s="90"/>
      <c r="AE30" s="90"/>
    </row>
    <row r="31" spans="2:31" s="22" customFormat="1" ht="12">
      <c r="D31" s="23"/>
      <c r="U31" s="25"/>
      <c r="V31" s="25"/>
      <c r="W31" s="25"/>
      <c r="X31" s="25"/>
      <c r="Y31" s="25"/>
      <c r="Z31" s="25"/>
      <c r="AA31" s="25"/>
      <c r="AB31" s="25"/>
      <c r="AC31" s="25"/>
      <c r="AD31" s="90"/>
      <c r="AE31" s="90"/>
    </row>
    <row r="32" spans="2:31" s="22" customFormat="1" ht="12">
      <c r="D32" s="23"/>
      <c r="U32" s="25"/>
      <c r="V32" s="25"/>
      <c r="W32" s="25"/>
      <c r="X32" s="25"/>
      <c r="Y32" s="25"/>
      <c r="Z32" s="25"/>
      <c r="AA32" s="25"/>
      <c r="AB32" s="25"/>
      <c r="AC32" s="25"/>
      <c r="AD32" s="90"/>
      <c r="AE32" s="90"/>
    </row>
    <row r="33" spans="4:31" s="22" customFormat="1" ht="12">
      <c r="D33" s="23"/>
      <c r="U33" s="25"/>
      <c r="V33" s="25"/>
      <c r="W33" s="25"/>
      <c r="X33" s="25"/>
      <c r="Y33" s="25"/>
      <c r="Z33" s="25"/>
      <c r="AA33" s="25"/>
      <c r="AB33" s="25"/>
      <c r="AC33" s="25"/>
      <c r="AD33" s="90"/>
      <c r="AE33" s="90"/>
    </row>
    <row r="34" spans="4:31" s="22" customFormat="1" ht="12">
      <c r="D34" s="23"/>
      <c r="U34" s="25"/>
      <c r="V34" s="25"/>
      <c r="W34" s="25"/>
      <c r="X34" s="25"/>
      <c r="Y34" s="25"/>
      <c r="Z34" s="25"/>
      <c r="AA34" s="25"/>
      <c r="AB34" s="25"/>
      <c r="AC34" s="25"/>
      <c r="AD34" s="90"/>
      <c r="AE34" s="90"/>
    </row>
    <row r="35" spans="4:31" s="22" customFormat="1" ht="12">
      <c r="D35" s="23"/>
      <c r="U35" s="25"/>
      <c r="V35" s="25"/>
      <c r="W35" s="25"/>
      <c r="X35" s="25"/>
      <c r="Y35" s="25"/>
      <c r="Z35" s="25"/>
      <c r="AA35" s="25"/>
      <c r="AB35" s="25"/>
      <c r="AC35" s="25"/>
      <c r="AD35" s="90"/>
      <c r="AE35" s="90"/>
    </row>
    <row r="36" spans="4:31" s="22" customFormat="1" ht="12">
      <c r="D36" s="23"/>
      <c r="U36" s="25"/>
      <c r="V36" s="25"/>
      <c r="W36" s="25"/>
      <c r="X36" s="25"/>
      <c r="Y36" s="25"/>
      <c r="Z36" s="25"/>
      <c r="AA36" s="25"/>
      <c r="AB36" s="25"/>
      <c r="AC36" s="25"/>
      <c r="AD36" s="90"/>
      <c r="AE36" s="90"/>
    </row>
    <row r="37" spans="4:31" s="22" customFormat="1" ht="12">
      <c r="D37" s="23"/>
      <c r="U37" s="25"/>
      <c r="V37" s="25"/>
      <c r="W37" s="25"/>
      <c r="X37" s="25"/>
      <c r="Y37" s="25"/>
      <c r="Z37" s="25"/>
      <c r="AA37" s="25"/>
      <c r="AB37" s="25"/>
      <c r="AC37" s="25"/>
      <c r="AD37" s="90"/>
      <c r="AE37" s="90"/>
    </row>
    <row r="38" spans="4:31" s="22" customFormat="1" ht="12">
      <c r="D38" s="23"/>
      <c r="U38" s="25"/>
      <c r="V38" s="25"/>
      <c r="W38" s="25"/>
      <c r="X38" s="25"/>
      <c r="Y38" s="25"/>
      <c r="Z38" s="25"/>
      <c r="AA38" s="25"/>
      <c r="AB38" s="25"/>
      <c r="AC38" s="25"/>
      <c r="AD38" s="90"/>
      <c r="AE38" s="90"/>
    </row>
    <row r="39" spans="4:31" s="22" customFormat="1" ht="12">
      <c r="D39" s="23"/>
      <c r="U39" s="25"/>
      <c r="V39" s="25"/>
      <c r="W39" s="25"/>
      <c r="X39" s="25"/>
      <c r="Y39" s="25"/>
      <c r="Z39" s="25"/>
      <c r="AA39" s="25"/>
      <c r="AB39" s="25"/>
      <c r="AC39" s="25"/>
      <c r="AD39" s="90"/>
      <c r="AE39" s="90"/>
    </row>
    <row r="40" spans="4:31" s="22" customFormat="1" ht="12">
      <c r="D40" s="23"/>
      <c r="U40" s="25"/>
      <c r="V40" s="25"/>
      <c r="W40" s="25"/>
      <c r="X40" s="25"/>
      <c r="Y40" s="25"/>
      <c r="Z40" s="25"/>
      <c r="AA40" s="25"/>
      <c r="AB40" s="25"/>
      <c r="AC40" s="25"/>
      <c r="AD40" s="90"/>
      <c r="AE40" s="90"/>
    </row>
    <row r="41" spans="4:31" s="22" customFormat="1" ht="12">
      <c r="D41" s="23"/>
      <c r="U41" s="25"/>
      <c r="V41" s="25"/>
      <c r="W41" s="25"/>
      <c r="X41" s="25"/>
      <c r="Y41" s="25"/>
      <c r="Z41" s="25"/>
      <c r="AA41" s="25"/>
      <c r="AB41" s="25"/>
      <c r="AC41" s="25"/>
      <c r="AD41" s="90"/>
      <c r="AE41" s="90"/>
    </row>
    <row r="42" spans="4:31" s="22" customFormat="1" ht="12">
      <c r="D42" s="23"/>
      <c r="U42" s="25"/>
      <c r="V42" s="25"/>
      <c r="W42" s="25"/>
      <c r="X42" s="25"/>
      <c r="Y42" s="25"/>
      <c r="Z42" s="25"/>
      <c r="AA42" s="25"/>
      <c r="AB42" s="25"/>
      <c r="AC42" s="25"/>
      <c r="AD42" s="90"/>
      <c r="AE42" s="90"/>
    </row>
    <row r="43" spans="4:31" s="22" customFormat="1" ht="12">
      <c r="D43" s="23"/>
      <c r="U43" s="25"/>
      <c r="V43" s="25"/>
      <c r="W43" s="25"/>
      <c r="X43" s="25"/>
      <c r="Y43" s="25"/>
      <c r="Z43" s="25"/>
      <c r="AA43" s="25"/>
      <c r="AB43" s="25"/>
      <c r="AC43" s="25"/>
      <c r="AD43" s="90"/>
      <c r="AE43" s="90"/>
    </row>
    <row r="44" spans="4:31" s="22" customFormat="1" ht="12">
      <c r="D44" s="23"/>
      <c r="U44" s="25"/>
      <c r="V44" s="25"/>
      <c r="W44" s="25"/>
      <c r="X44" s="25"/>
      <c r="Y44" s="25"/>
      <c r="Z44" s="25"/>
      <c r="AA44" s="25"/>
      <c r="AB44" s="25"/>
      <c r="AC44" s="25"/>
      <c r="AD44" s="90"/>
      <c r="AE44" s="90"/>
    </row>
  </sheetData>
  <sheetCalcPr fullCalcOnLoad="1"/>
  <mergeCells count="9">
    <mergeCell ref="AE18:AE19"/>
    <mergeCell ref="E6:P6"/>
    <mergeCell ref="Q6:T6"/>
    <mergeCell ref="V6:W6"/>
    <mergeCell ref="Y6:AB6"/>
    <mergeCell ref="AD6:AE6"/>
    <mergeCell ref="H16:P16"/>
    <mergeCell ref="Q16:T16"/>
    <mergeCell ref="AD17:AE17"/>
  </mergeCells>
  <phoneticPr fontId="1" type="noConversion"/>
  <printOptions horizontalCentered="1"/>
  <pageMargins left="0.2" right="0.2" top="0.75" bottom="0.75" header="0.3" footer="0.3"/>
  <pageSetup scale="40" orientation="landscape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PRM-04 check files</vt:lpstr>
    </vt:vector>
  </TitlesOfParts>
  <Company>University of Florida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Rodica Martin</dc:creator>
  <cp:lastModifiedBy>Rodica Martin</cp:lastModifiedBy>
  <cp:lastPrinted>2013-09-11T20:32:44Z</cp:lastPrinted>
  <dcterms:created xsi:type="dcterms:W3CDTF">2013-09-04T18:37:14Z</dcterms:created>
  <dcterms:modified xsi:type="dcterms:W3CDTF">2013-09-11T20:32:47Z</dcterms:modified>
</cp:coreProperties>
</file>