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225" windowWidth="21930" windowHeight="131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63" i="1"/>
  <c r="B109" s="1"/>
  <c r="C68"/>
  <c r="C66"/>
  <c r="C67"/>
  <c r="C94"/>
  <c r="C93"/>
  <c r="C92"/>
  <c r="G94"/>
  <c r="H94" s="1"/>
  <c r="I94" s="1"/>
  <c r="G93"/>
  <c r="G92"/>
  <c r="H92" s="1"/>
  <c r="I92" s="1"/>
  <c r="G78"/>
  <c r="H78" s="1"/>
  <c r="I78" s="1"/>
  <c r="G77"/>
  <c r="H77" s="1"/>
  <c r="I77" s="1"/>
  <c r="G76"/>
  <c r="H76" s="1"/>
  <c r="I76" s="1"/>
  <c r="B78"/>
  <c r="C78" s="1"/>
  <c r="B77"/>
  <c r="C77" s="1"/>
  <c r="H93" l="1"/>
  <c r="I93" s="1"/>
  <c r="G97"/>
  <c r="H97" s="1"/>
  <c r="C97"/>
  <c r="B95"/>
  <c r="C95" s="1"/>
  <c r="B113" s="1"/>
  <c r="B74"/>
  <c r="C74" s="1"/>
  <c r="B69"/>
  <c r="G63"/>
  <c r="H63" s="1"/>
  <c r="B84"/>
  <c r="C84" s="1"/>
  <c r="B111" s="1"/>
  <c r="C55"/>
  <c r="G84"/>
  <c r="H84" s="1"/>
  <c r="G72"/>
  <c r="H72" s="1"/>
  <c r="G71"/>
  <c r="H71" s="1"/>
  <c r="C56"/>
  <c r="C72"/>
  <c r="C71"/>
  <c r="E60"/>
  <c r="G60" s="1"/>
  <c r="H60" s="1"/>
  <c r="E59"/>
  <c r="G59" s="1"/>
  <c r="H59" s="1"/>
  <c r="G90"/>
  <c r="H90" s="1"/>
  <c r="G89"/>
  <c r="H89" s="1"/>
  <c r="G87"/>
  <c r="H87" s="1"/>
  <c r="G67"/>
  <c r="H67" s="1"/>
  <c r="G66"/>
  <c r="H66" s="1"/>
  <c r="G65"/>
  <c r="H65" s="1"/>
  <c r="G58"/>
  <c r="H58" s="1"/>
  <c r="B76" l="1"/>
  <c r="C76" s="1"/>
  <c r="B79"/>
  <c r="C69"/>
  <c r="I97"/>
  <c r="I65"/>
  <c r="I90"/>
  <c r="I89"/>
  <c r="I72"/>
  <c r="I71"/>
  <c r="I87"/>
  <c r="I66"/>
  <c r="I59"/>
  <c r="I67"/>
  <c r="I58"/>
  <c r="I60"/>
  <c r="I84"/>
  <c r="I63"/>
  <c r="C65"/>
  <c r="C73"/>
  <c r="B90"/>
  <c r="B99" s="1"/>
  <c r="C99" s="1"/>
  <c r="C89"/>
  <c r="C88"/>
  <c r="C87"/>
  <c r="C86"/>
  <c r="C59"/>
  <c r="C60"/>
  <c r="C58"/>
  <c r="B61"/>
  <c r="C50"/>
  <c r="C51"/>
  <c r="C52"/>
  <c r="C49"/>
  <c r="B81" l="1"/>
  <c r="C81" s="1"/>
  <c r="C79"/>
  <c r="B110" s="1"/>
  <c r="C90"/>
  <c r="B112" s="1"/>
  <c r="C61"/>
  <c r="B108" s="1"/>
</calcChain>
</file>

<file path=xl/sharedStrings.xml><?xml version="1.0" encoding="utf-8"?>
<sst xmlns="http://schemas.openxmlformats.org/spreadsheetml/2006/main" count="71" uniqueCount="70">
  <si>
    <t>Detector Viewer Summary</t>
  </si>
  <si>
    <t>Title: D0901920-v4, Advanced LIGO, H1 Layout</t>
  </si>
  <si>
    <t>Incoherent Data</t>
  </si>
  <si>
    <t>fractional scatter</t>
  </si>
  <si>
    <t>incident angle, deg</t>
  </si>
  <si>
    <t>incident angle, rad</t>
  </si>
  <si>
    <t>Surface</t>
  </si>
  <si>
    <t>Power, W</t>
  </si>
  <si>
    <t>scattering length, mm</t>
  </si>
  <si>
    <t>BRDF, sr^-1</t>
  </si>
  <si>
    <t>1015: BS Scatter Detector</t>
  </si>
  <si>
    <t>1016: BSC2 cylinder</t>
  </si>
  <si>
    <t>1021: BSC top</t>
  </si>
  <si>
    <t>1022: BSC bottom</t>
  </si>
  <si>
    <t>999: ELL BAF PLATE1</t>
  </si>
  <si>
    <t>1002: ELL BAF PLATE2 ITMX</t>
  </si>
  <si>
    <t>1003: ELL BAF PLATE3 ITMX</t>
  </si>
  <si>
    <t>total Ellip Baf ITMX</t>
  </si>
  <si>
    <t>1017: BSC spool +X</t>
  </si>
  <si>
    <t>1018: BSC flange +X</t>
  </si>
  <si>
    <t>1025: spool BSC2-BSC3</t>
  </si>
  <si>
    <t>1026: BSC3 opening</t>
  </si>
  <si>
    <t>1028: ITM upper envelope</t>
  </si>
  <si>
    <t>1029: ITM middle envelope</t>
  </si>
  <si>
    <t>1030: ITM lower envelope</t>
  </si>
  <si>
    <t>1031: SUS ring around TM</t>
  </si>
  <si>
    <t>total ITM SUS</t>
  </si>
  <si>
    <t>373: BS Chamber HAM4 block</t>
  </si>
  <si>
    <t>ZEMAX coordinate</t>
  </si>
  <si>
    <t>x</t>
  </si>
  <si>
    <t>y</t>
  </si>
  <si>
    <t>z</t>
  </si>
  <si>
    <t>BS</t>
  </si>
  <si>
    <t>1019: BSC spool -Y</t>
  </si>
  <si>
    <t>1020: BSC flange -Y</t>
  </si>
  <si>
    <t>1024: BSC2 cyl exit -Y</t>
  </si>
  <si>
    <t>1023: BSC2 cyl exit +X</t>
  </si>
  <si>
    <t>total hitting HAM4/MC tube</t>
  </si>
  <si>
    <t>994: ELL BAF PLATE BSAR</t>
  </si>
  <si>
    <t>check total power</t>
  </si>
  <si>
    <t>1047: ARM CAVITY BAF PLATE 6 ITMX</t>
  </si>
  <si>
    <t>1051: WIDE ANGLE BAF BOTTOM LEDGE ITMX</t>
  </si>
  <si>
    <t>1052: acb_wide-angle-baffle-side_H1_ITMx.POB</t>
  </si>
  <si>
    <t>total ACB</t>
  </si>
  <si>
    <t>1027: ITMX Manifold</t>
  </si>
  <si>
    <t>check total exit +X</t>
  </si>
  <si>
    <t>check total entering BSC3</t>
  </si>
  <si>
    <t>check total exit -Y</t>
  </si>
  <si>
    <t>File : H:\ADLIGO\SLC\Scattering BS_6-10-13.ZMX</t>
  </si>
  <si>
    <t>Date : 6/11/2013</t>
  </si>
  <si>
    <t>total BSC2 chamber</t>
  </si>
  <si>
    <t>BSC2 cylinder</t>
  </si>
  <si>
    <t>BSC bottom</t>
  </si>
  <si>
    <t>BSC top</t>
  </si>
  <si>
    <t>TOTAL ITM ELL BAF</t>
  </si>
  <si>
    <t>Displace-ment Noise, m/rtHz</t>
  </si>
  <si>
    <t>Incident Power, W</t>
  </si>
  <si>
    <t>Power Scattered into IFO, W</t>
  </si>
  <si>
    <t>Recycling Cavity Power</t>
  </si>
  <si>
    <t>Ref: see BS_wide-angle_scatter_ZEMAX.xmcd for the Displacement Noise Calculations</t>
  </si>
  <si>
    <t>Scatter Loss Fraction</t>
  </si>
  <si>
    <t>BSAR ELL BAF PLATE</t>
  </si>
  <si>
    <t>Motion Spectrum, m/rtHz</t>
  </si>
  <si>
    <t>TOTAL BSC2</t>
  </si>
  <si>
    <t>HAM4/MC TUBE</t>
  </si>
  <si>
    <t>TOTAL ITM SUS FRAME</t>
  </si>
  <si>
    <t xml:space="preserve">TOTAL WIDE ANGLE ITM ACB </t>
  </si>
  <si>
    <t>SCATTERED LIGHT SUMMARY</t>
  </si>
  <si>
    <t>T1300539 BS wide-angle Scatter Displacement Noise Summary</t>
  </si>
  <si>
    <t>Total Analysis Power Reference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</si>
</sst>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/>
    <xf numFmtId="11" fontId="0" fillId="0" borderId="1" xfId="0" applyNumberFormat="1" applyBorder="1"/>
    <xf numFmtId="1" fontId="0" fillId="0" borderId="1" xfId="0" applyNumberForma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2" fontId="0" fillId="0" borderId="1" xfId="0" applyNumberFormat="1" applyBorder="1"/>
    <xf numFmtId="0" fontId="3" fillId="0" borderId="0" xfId="0" applyFont="1"/>
    <xf numFmtId="11" fontId="0" fillId="0" borderId="0" xfId="0" applyNumberFormat="1"/>
    <xf numFmtId="2" fontId="0" fillId="0" borderId="0" xfId="0" applyNumberFormat="1" applyBorder="1"/>
    <xf numFmtId="0" fontId="2" fillId="0" borderId="0" xfId="0" applyFont="1" applyBorder="1"/>
    <xf numFmtId="0" fontId="0" fillId="0" borderId="0" xfId="0" applyBorder="1"/>
    <xf numFmtId="11" fontId="0" fillId="0" borderId="2" xfId="0" applyNumberFormat="1" applyBorder="1"/>
    <xf numFmtId="0" fontId="0" fillId="0" borderId="1" xfId="0" applyFill="1" applyBorder="1"/>
    <xf numFmtId="0" fontId="3" fillId="0" borderId="1" xfId="0" applyFont="1" applyFill="1" applyBorder="1"/>
    <xf numFmtId="0" fontId="3" fillId="0" borderId="1" xfId="0" applyFont="1" applyBorder="1"/>
    <xf numFmtId="0" fontId="0" fillId="0" borderId="2" xfId="0" applyFill="1" applyBorder="1"/>
    <xf numFmtId="11" fontId="0" fillId="0" borderId="2" xfId="0" applyNumberFormat="1" applyFill="1" applyBorder="1"/>
    <xf numFmtId="0" fontId="3" fillId="0" borderId="2" xfId="0" applyFont="1" applyBorder="1"/>
    <xf numFmtId="14" fontId="0" fillId="0" borderId="0" xfId="0" applyNumberFormat="1"/>
    <xf numFmtId="46" fontId="0" fillId="0" borderId="0" xfId="0" applyNumberFormat="1"/>
    <xf numFmtId="11" fontId="3" fillId="0" borderId="1" xfId="0" applyNumberFormat="1" applyFont="1" applyFill="1" applyBorder="1"/>
    <xf numFmtId="0" fontId="0" fillId="0" borderId="2" xfId="0" applyBorder="1" applyAlignment="1">
      <alignment wrapText="1"/>
    </xf>
    <xf numFmtId="0" fontId="2" fillId="0" borderId="1" xfId="0" applyFont="1" applyBorder="1" applyAlignment="1">
      <alignment horizontal="centerContinuous"/>
    </xf>
    <xf numFmtId="0" fontId="4" fillId="2" borderId="1" xfId="1" applyBorder="1"/>
    <xf numFmtId="1" fontId="4" fillId="2" borderId="1" xfId="1" applyNumberFormat="1" applyBorder="1"/>
    <xf numFmtId="2" fontId="4" fillId="2" borderId="1" xfId="1" applyNumberFormat="1" applyBorder="1"/>
    <xf numFmtId="0" fontId="4" fillId="2" borderId="1" xfId="1" applyBorder="1" applyAlignment="1">
      <alignment wrapText="1"/>
    </xf>
    <xf numFmtId="164" fontId="3" fillId="0" borderId="1" xfId="0" applyNumberFormat="1" applyFont="1" applyFill="1" applyBorder="1"/>
    <xf numFmtId="1" fontId="0" fillId="0" borderId="0" xfId="0" applyNumberFormat="1" applyBorder="1"/>
    <xf numFmtId="164" fontId="4" fillId="2" borderId="1" xfId="1" applyNumberFormat="1" applyBorder="1"/>
    <xf numFmtId="164" fontId="0" fillId="0" borderId="1" xfId="0" applyNumberFormat="1" applyBorder="1"/>
    <xf numFmtId="165" fontId="3" fillId="0" borderId="1" xfId="0" applyNumberFormat="1" applyFont="1" applyFill="1" applyBorder="1"/>
    <xf numFmtId="165" fontId="0" fillId="0" borderId="1" xfId="0" applyNumberFormat="1" applyBorder="1"/>
    <xf numFmtId="165" fontId="4" fillId="2" borderId="1" xfId="1" applyNumberFormat="1" applyBorder="1"/>
    <xf numFmtId="0" fontId="3" fillId="0" borderId="4" xfId="0" applyFont="1" applyFill="1" applyBorder="1"/>
    <xf numFmtId="0" fontId="0" fillId="0" borderId="2" xfId="0" applyBorder="1"/>
    <xf numFmtId="164" fontId="3" fillId="0" borderId="0" xfId="0" applyNumberFormat="1" applyFont="1" applyFill="1" applyBorder="1"/>
    <xf numFmtId="11" fontId="3" fillId="0" borderId="2" xfId="0" applyNumberFormat="1" applyFont="1" applyBorder="1"/>
    <xf numFmtId="11" fontId="3" fillId="0" borderId="1" xfId="0" applyNumberFormat="1" applyFont="1" applyBorder="1"/>
    <xf numFmtId="0" fontId="2" fillId="0" borderId="5" xfId="0" applyFont="1" applyBorder="1"/>
    <xf numFmtId="164" fontId="3" fillId="0" borderId="6" xfId="0" applyNumberFormat="1" applyFont="1" applyFill="1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9" xfId="0" applyBorder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10</xdr:row>
      <xdr:rowOff>2</xdr:rowOff>
    </xdr:from>
    <xdr:to>
      <xdr:col>8</xdr:col>
      <xdr:colOff>638233</xdr:colOff>
      <xdr:row>33</xdr:row>
      <xdr:rowOff>127000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1" y="1651002"/>
          <a:ext cx="8740832" cy="392429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901700</xdr:colOff>
      <xdr:row>20</xdr:row>
      <xdr:rowOff>25400</xdr:rowOff>
    </xdr:from>
    <xdr:to>
      <xdr:col>0</xdr:col>
      <xdr:colOff>1282700</xdr:colOff>
      <xdr:row>21</xdr:row>
      <xdr:rowOff>114300</xdr:rowOff>
    </xdr:to>
    <xdr:sp macro="" textlink="">
      <xdr:nvSpPr>
        <xdr:cNvPr id="4" name="TextBox 3"/>
        <xdr:cNvSpPr txBox="1"/>
      </xdr:nvSpPr>
      <xdr:spPr>
        <a:xfrm>
          <a:off x="901700" y="3327400"/>
          <a:ext cx="3810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BS</a:t>
          </a:r>
        </a:p>
      </xdr:txBody>
    </xdr:sp>
    <xdr:clientData/>
  </xdr:twoCellAnchor>
  <xdr:twoCellAnchor>
    <xdr:from>
      <xdr:col>0</xdr:col>
      <xdr:colOff>1968501</xdr:colOff>
      <xdr:row>17</xdr:row>
      <xdr:rowOff>127002</xdr:rowOff>
    </xdr:from>
    <xdr:to>
      <xdr:col>0</xdr:col>
      <xdr:colOff>2886075</xdr:colOff>
      <xdr:row>19</xdr:row>
      <xdr:rowOff>53977</xdr:rowOff>
    </xdr:to>
    <xdr:sp macro="" textlink="">
      <xdr:nvSpPr>
        <xdr:cNvPr id="5" name="TextBox 4"/>
        <xdr:cNvSpPr txBox="1"/>
      </xdr:nvSpPr>
      <xdr:spPr>
        <a:xfrm>
          <a:off x="1968501" y="2879727"/>
          <a:ext cx="917574" cy="250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ITM Ellip Baf</a:t>
          </a:r>
        </a:p>
      </xdr:txBody>
    </xdr:sp>
    <xdr:clientData/>
  </xdr:twoCellAnchor>
  <xdr:twoCellAnchor>
    <xdr:from>
      <xdr:col>0</xdr:col>
      <xdr:colOff>2333625</xdr:colOff>
      <xdr:row>19</xdr:row>
      <xdr:rowOff>53977</xdr:rowOff>
    </xdr:from>
    <xdr:to>
      <xdr:col>0</xdr:col>
      <xdr:colOff>2427288</xdr:colOff>
      <xdr:row>20</xdr:row>
      <xdr:rowOff>76200</xdr:rowOff>
    </xdr:to>
    <xdr:cxnSp macro="">
      <xdr:nvCxnSpPr>
        <xdr:cNvPr id="7" name="Straight Arrow Connector 6"/>
        <xdr:cNvCxnSpPr>
          <a:stCxn id="5" idx="2"/>
        </xdr:cNvCxnSpPr>
      </xdr:nvCxnSpPr>
      <xdr:spPr>
        <a:xfrm flipH="1">
          <a:off x="2333625" y="3130552"/>
          <a:ext cx="93663" cy="18414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23</xdr:row>
      <xdr:rowOff>50801</xdr:rowOff>
    </xdr:from>
    <xdr:to>
      <xdr:col>0</xdr:col>
      <xdr:colOff>1038226</xdr:colOff>
      <xdr:row>26</xdr:row>
      <xdr:rowOff>9525</xdr:rowOff>
    </xdr:to>
    <xdr:sp macro="" textlink="">
      <xdr:nvSpPr>
        <xdr:cNvPr id="8" name="TextBox 7"/>
        <xdr:cNvSpPr txBox="1"/>
      </xdr:nvSpPr>
      <xdr:spPr>
        <a:xfrm>
          <a:off x="133350" y="3775076"/>
          <a:ext cx="904876" cy="444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ELL BAF PLATE BSAR</a:t>
          </a:r>
        </a:p>
      </xdr:txBody>
    </xdr:sp>
    <xdr:clientData/>
  </xdr:twoCellAnchor>
  <xdr:twoCellAnchor>
    <xdr:from>
      <xdr:col>0</xdr:col>
      <xdr:colOff>1038226</xdr:colOff>
      <xdr:row>23</xdr:row>
      <xdr:rowOff>66677</xdr:rowOff>
    </xdr:from>
    <xdr:to>
      <xdr:col>0</xdr:col>
      <xdr:colOff>1228725</xdr:colOff>
      <xdr:row>24</xdr:row>
      <xdr:rowOff>111126</xdr:rowOff>
    </xdr:to>
    <xdr:cxnSp macro="">
      <xdr:nvCxnSpPr>
        <xdr:cNvPr id="9" name="Straight Arrow Connector 8"/>
        <xdr:cNvCxnSpPr>
          <a:stCxn id="8" idx="3"/>
        </xdr:cNvCxnSpPr>
      </xdr:nvCxnSpPr>
      <xdr:spPr>
        <a:xfrm flipV="1">
          <a:off x="1038226" y="3790952"/>
          <a:ext cx="190499" cy="20637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504825</xdr:colOff>
      <xdr:row>24</xdr:row>
      <xdr:rowOff>155577</xdr:rowOff>
    </xdr:from>
    <xdr:to>
      <xdr:col>3</xdr:col>
      <xdr:colOff>276224</xdr:colOff>
      <xdr:row>26</xdr:row>
      <xdr:rowOff>82552</xdr:rowOff>
    </xdr:to>
    <xdr:sp macro="" textlink="">
      <xdr:nvSpPr>
        <xdr:cNvPr id="11" name="TextBox 10"/>
        <xdr:cNvSpPr txBox="1"/>
      </xdr:nvSpPr>
      <xdr:spPr>
        <a:xfrm>
          <a:off x="3495675" y="4041777"/>
          <a:ext cx="1219199" cy="250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 spool BSC2-BSC3</a:t>
          </a:r>
        </a:p>
      </xdr:txBody>
    </xdr:sp>
    <xdr:clientData/>
  </xdr:twoCellAnchor>
  <xdr:twoCellAnchor>
    <xdr:from>
      <xdr:col>0</xdr:col>
      <xdr:colOff>1009650</xdr:colOff>
      <xdr:row>33</xdr:row>
      <xdr:rowOff>73029</xdr:rowOff>
    </xdr:from>
    <xdr:to>
      <xdr:col>0</xdr:col>
      <xdr:colOff>2190750</xdr:colOff>
      <xdr:row>35</xdr:row>
      <xdr:rowOff>4</xdr:rowOff>
    </xdr:to>
    <xdr:sp macro="" textlink="">
      <xdr:nvSpPr>
        <xdr:cNvPr id="13" name="TextBox 12"/>
        <xdr:cNvSpPr txBox="1"/>
      </xdr:nvSpPr>
      <xdr:spPr>
        <a:xfrm>
          <a:off x="1009650" y="5416554"/>
          <a:ext cx="1181100" cy="250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HAM4/MC tube</a:t>
          </a:r>
        </a:p>
      </xdr:txBody>
    </xdr:sp>
    <xdr:clientData/>
  </xdr:twoCellAnchor>
  <xdr:twoCellAnchor>
    <xdr:from>
      <xdr:col>5</xdr:col>
      <xdr:colOff>663576</xdr:colOff>
      <xdr:row>24</xdr:row>
      <xdr:rowOff>79377</xdr:rowOff>
    </xdr:from>
    <xdr:to>
      <xdr:col>6</xdr:col>
      <xdr:colOff>676275</xdr:colOff>
      <xdr:row>26</xdr:row>
      <xdr:rowOff>6352</xdr:rowOff>
    </xdr:to>
    <xdr:sp macro="" textlink="">
      <xdr:nvSpPr>
        <xdr:cNvPr id="15" name="TextBox 14"/>
        <xdr:cNvSpPr txBox="1"/>
      </xdr:nvSpPr>
      <xdr:spPr>
        <a:xfrm>
          <a:off x="6530976" y="3965577"/>
          <a:ext cx="736599" cy="250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 ITM SUS</a:t>
          </a:r>
        </a:p>
      </xdr:txBody>
    </xdr:sp>
    <xdr:clientData/>
  </xdr:twoCellAnchor>
  <xdr:twoCellAnchor>
    <xdr:from>
      <xdr:col>6</xdr:col>
      <xdr:colOff>371476</xdr:colOff>
      <xdr:row>14</xdr:row>
      <xdr:rowOff>142875</xdr:rowOff>
    </xdr:from>
    <xdr:to>
      <xdr:col>7</xdr:col>
      <xdr:colOff>57151</xdr:colOff>
      <xdr:row>16</xdr:row>
      <xdr:rowOff>69850</xdr:rowOff>
    </xdr:to>
    <xdr:sp macro="" textlink="">
      <xdr:nvSpPr>
        <xdr:cNvPr id="16" name="TextBox 15"/>
        <xdr:cNvSpPr txBox="1"/>
      </xdr:nvSpPr>
      <xdr:spPr>
        <a:xfrm>
          <a:off x="6962776" y="2409825"/>
          <a:ext cx="476250" cy="250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ACB</a:t>
          </a:r>
        </a:p>
      </xdr:txBody>
    </xdr:sp>
    <xdr:clientData/>
  </xdr:twoCellAnchor>
  <xdr:twoCellAnchor>
    <xdr:from>
      <xdr:col>6</xdr:col>
      <xdr:colOff>676275</xdr:colOff>
      <xdr:row>16</xdr:row>
      <xdr:rowOff>63503</xdr:rowOff>
    </xdr:from>
    <xdr:to>
      <xdr:col>7</xdr:col>
      <xdr:colOff>133350</xdr:colOff>
      <xdr:row>17</xdr:row>
      <xdr:rowOff>133350</xdr:rowOff>
    </xdr:to>
    <xdr:cxnSp macro="">
      <xdr:nvCxnSpPr>
        <xdr:cNvPr id="17" name="Straight Arrow Connector 16"/>
        <xdr:cNvCxnSpPr/>
      </xdr:nvCxnSpPr>
      <xdr:spPr>
        <a:xfrm>
          <a:off x="7267575" y="2654303"/>
          <a:ext cx="247650" cy="23177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26</xdr:row>
      <xdr:rowOff>114299</xdr:rowOff>
    </xdr:from>
    <xdr:to>
      <xdr:col>8</xdr:col>
      <xdr:colOff>628650</xdr:colOff>
      <xdr:row>29</xdr:row>
      <xdr:rowOff>133349</xdr:rowOff>
    </xdr:to>
    <xdr:sp macro="" textlink="">
      <xdr:nvSpPr>
        <xdr:cNvPr id="19" name="TextBox 18"/>
        <xdr:cNvSpPr txBox="1"/>
      </xdr:nvSpPr>
      <xdr:spPr>
        <a:xfrm>
          <a:off x="8029575" y="4324349"/>
          <a:ext cx="752475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 ITMX Manifold</a:t>
          </a:r>
        </a:p>
      </xdr:txBody>
    </xdr:sp>
    <xdr:clientData/>
  </xdr:twoCellAnchor>
  <xdr:twoCellAnchor>
    <xdr:from>
      <xdr:col>8</xdr:col>
      <xdr:colOff>219075</xdr:colOff>
      <xdr:row>24</xdr:row>
      <xdr:rowOff>104775</xdr:rowOff>
    </xdr:from>
    <xdr:to>
      <xdr:col>8</xdr:col>
      <xdr:colOff>457200</xdr:colOff>
      <xdr:row>26</xdr:row>
      <xdr:rowOff>123825</xdr:rowOff>
    </xdr:to>
    <xdr:cxnSp macro="">
      <xdr:nvCxnSpPr>
        <xdr:cNvPr id="20" name="Straight Arrow Connector 19"/>
        <xdr:cNvCxnSpPr/>
      </xdr:nvCxnSpPr>
      <xdr:spPr>
        <a:xfrm flipV="1">
          <a:off x="8372475" y="3990975"/>
          <a:ext cx="238125" cy="3429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2333625</xdr:colOff>
      <xdr:row>9</xdr:row>
      <xdr:rowOff>47626</xdr:rowOff>
    </xdr:from>
    <xdr:to>
      <xdr:col>1</xdr:col>
      <xdr:colOff>76200</xdr:colOff>
      <xdr:row>12</xdr:row>
      <xdr:rowOff>22227</xdr:rowOff>
    </xdr:to>
    <xdr:sp macro="" textlink="">
      <xdr:nvSpPr>
        <xdr:cNvPr id="30" name="TextBox 29"/>
        <xdr:cNvSpPr txBox="1"/>
      </xdr:nvSpPr>
      <xdr:spPr>
        <a:xfrm>
          <a:off x="2333625" y="1504951"/>
          <a:ext cx="733425" cy="460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BSC2 chamber</a:t>
          </a:r>
        </a:p>
      </xdr:txBody>
    </xdr:sp>
    <xdr:clientData/>
  </xdr:twoCellAnchor>
  <xdr:twoCellAnchor>
    <xdr:from>
      <xdr:col>0</xdr:col>
      <xdr:colOff>2438400</xdr:colOff>
      <xdr:row>12</xdr:row>
      <xdr:rowOff>22227</xdr:rowOff>
    </xdr:from>
    <xdr:to>
      <xdr:col>0</xdr:col>
      <xdr:colOff>2700338</xdr:colOff>
      <xdr:row>13</xdr:row>
      <xdr:rowOff>28575</xdr:rowOff>
    </xdr:to>
    <xdr:cxnSp macro="">
      <xdr:nvCxnSpPr>
        <xdr:cNvPr id="31" name="Straight Arrow Connector 30"/>
        <xdr:cNvCxnSpPr>
          <a:stCxn id="30" idx="2"/>
        </xdr:cNvCxnSpPr>
      </xdr:nvCxnSpPr>
      <xdr:spPr>
        <a:xfrm flipH="1">
          <a:off x="2438400" y="1965327"/>
          <a:ext cx="261938" cy="16827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topLeftCell="A80" zoomScaleNormal="100" workbookViewId="0">
      <selection activeCell="M52" sqref="M52"/>
    </sheetView>
  </sheetViews>
  <sheetFormatPr defaultRowHeight="12.75"/>
  <cols>
    <col min="1" max="1" width="44.85546875" customWidth="1"/>
    <col min="2" max="2" width="9.85546875" bestFit="1" customWidth="1"/>
    <col min="3" max="3" width="11.85546875" customWidth="1"/>
    <col min="4" max="4" width="8.5703125" customWidth="1"/>
    <col min="5" max="5" width="12.85546875" customWidth="1"/>
    <col min="6" max="6" width="10.85546875" customWidth="1"/>
    <col min="7" max="7" width="11.85546875" customWidth="1"/>
    <col min="8" max="8" width="11.5703125" customWidth="1"/>
    <col min="9" max="9" width="10" customWidth="1"/>
    <col min="12" max="12" width="11.7109375" bestFit="1" customWidth="1"/>
    <col min="13" max="13" width="12.140625" bestFit="1" customWidth="1"/>
    <col min="14" max="14" width="23.85546875" bestFit="1" customWidth="1"/>
  </cols>
  <sheetData>
    <row r="1" spans="1:1">
      <c r="A1" t="s">
        <v>68</v>
      </c>
    </row>
    <row r="3" spans="1:1">
      <c r="A3" t="s">
        <v>0</v>
      </c>
    </row>
    <row r="5" spans="1:1">
      <c r="A5" t="s">
        <v>48</v>
      </c>
    </row>
    <row r="6" spans="1:1">
      <c r="A6" t="s">
        <v>1</v>
      </c>
    </row>
    <row r="7" spans="1:1">
      <c r="A7" t="s">
        <v>49</v>
      </c>
    </row>
    <row r="8" spans="1:1">
      <c r="A8" s="7"/>
    </row>
    <row r="9" spans="1:1">
      <c r="A9" s="7"/>
    </row>
    <row r="10" spans="1:1">
      <c r="A10" s="7"/>
    </row>
    <row r="11" spans="1:1">
      <c r="A11" s="7"/>
    </row>
    <row r="12" spans="1:1">
      <c r="A12" s="7"/>
    </row>
    <row r="13" spans="1:1">
      <c r="A13" s="7"/>
    </row>
    <row r="14" spans="1:1">
      <c r="A14" s="7"/>
    </row>
    <row r="15" spans="1:1">
      <c r="A15" s="7"/>
    </row>
    <row r="16" spans="1:1">
      <c r="A16" s="7"/>
    </row>
    <row r="17" spans="1:1">
      <c r="A17" s="7"/>
    </row>
    <row r="18" spans="1:1">
      <c r="A18" s="7"/>
    </row>
    <row r="19" spans="1:1">
      <c r="A19" s="7"/>
    </row>
    <row r="20" spans="1:1">
      <c r="A20" s="7"/>
    </row>
    <row r="21" spans="1:1">
      <c r="A21" s="7"/>
    </row>
    <row r="22" spans="1:1">
      <c r="A22" s="7"/>
    </row>
    <row r="23" spans="1:1">
      <c r="A23" s="7"/>
    </row>
    <row r="24" spans="1:1">
      <c r="A24" s="7"/>
    </row>
    <row r="25" spans="1:1">
      <c r="A25" s="7"/>
    </row>
    <row r="26" spans="1:1">
      <c r="A26" s="7"/>
    </row>
    <row r="27" spans="1:1">
      <c r="A27" s="7"/>
    </row>
    <row r="28" spans="1:1">
      <c r="A28" s="7"/>
    </row>
    <row r="29" spans="1:1">
      <c r="A29" s="7"/>
    </row>
    <row r="30" spans="1:1">
      <c r="A30" s="7"/>
    </row>
    <row r="31" spans="1:1">
      <c r="A31" s="7"/>
    </row>
    <row r="32" spans="1:1">
      <c r="A32" s="7"/>
    </row>
    <row r="33" spans="1:9">
      <c r="A33" s="7"/>
    </row>
    <row r="34" spans="1:9">
      <c r="A34" s="7"/>
    </row>
    <row r="35" spans="1:9">
      <c r="A35" s="7"/>
    </row>
    <row r="36" spans="1:9">
      <c r="A36" s="7"/>
    </row>
    <row r="37" spans="1:9">
      <c r="A37" s="7"/>
    </row>
    <row r="38" spans="1:9">
      <c r="A38" s="7"/>
    </row>
    <row r="39" spans="1:9">
      <c r="A39" s="7"/>
    </row>
    <row r="40" spans="1:9">
      <c r="A40" s="7"/>
    </row>
    <row r="42" spans="1:9">
      <c r="A42" t="s">
        <v>2</v>
      </c>
    </row>
    <row r="43" spans="1:9">
      <c r="A43" s="10"/>
      <c r="B43" s="11"/>
      <c r="C43" s="11"/>
      <c r="D43" s="23" t="s">
        <v>28</v>
      </c>
      <c r="E43" s="23"/>
      <c r="F43" s="23"/>
      <c r="G43" s="10"/>
      <c r="H43" s="10"/>
      <c r="I43" s="10"/>
    </row>
    <row r="44" spans="1:9" ht="39" thickBot="1">
      <c r="A44" s="4" t="s">
        <v>6</v>
      </c>
      <c r="B44" s="5" t="s">
        <v>7</v>
      </c>
      <c r="C44" s="5" t="s">
        <v>3</v>
      </c>
      <c r="D44" s="4" t="s">
        <v>29</v>
      </c>
      <c r="E44" s="4" t="s">
        <v>30</v>
      </c>
      <c r="F44" s="4" t="s">
        <v>31</v>
      </c>
      <c r="G44" s="5" t="s">
        <v>8</v>
      </c>
      <c r="H44" s="5" t="s">
        <v>4</v>
      </c>
      <c r="I44" s="5" t="s">
        <v>5</v>
      </c>
    </row>
    <row r="45" spans="1:9" ht="13.5" thickTop="1">
      <c r="A45" s="36" t="s">
        <v>58</v>
      </c>
      <c r="B45" s="12">
        <v>2844</v>
      </c>
      <c r="C45" s="36"/>
      <c r="D45" s="36"/>
      <c r="E45" s="36"/>
      <c r="F45" s="36"/>
      <c r="G45" s="14"/>
      <c r="H45" s="14"/>
      <c r="I45" s="14"/>
    </row>
    <row r="46" spans="1:9">
      <c r="A46" s="18" t="s">
        <v>60</v>
      </c>
      <c r="B46" s="12">
        <v>1.0000000000000001E-5</v>
      </c>
      <c r="C46" s="1"/>
      <c r="D46" s="1"/>
      <c r="E46" s="1"/>
      <c r="F46" s="1"/>
      <c r="G46" s="14"/>
      <c r="H46" s="14"/>
      <c r="I46" s="14"/>
    </row>
    <row r="47" spans="1:9">
      <c r="A47" s="1" t="s">
        <v>32</v>
      </c>
      <c r="B47" s="1"/>
      <c r="C47" s="35"/>
      <c r="D47" s="14">
        <v>82.91</v>
      </c>
      <c r="E47" s="14">
        <v>-202.6</v>
      </c>
      <c r="F47" s="14">
        <v>-136.6</v>
      </c>
      <c r="G47" s="14"/>
      <c r="H47" s="14"/>
      <c r="I47" s="14"/>
    </row>
    <row r="48" spans="1:9">
      <c r="A48" s="14" t="s">
        <v>69</v>
      </c>
      <c r="B48" s="14">
        <v>1000</v>
      </c>
      <c r="C48" s="14"/>
      <c r="D48" s="14"/>
      <c r="E48" s="14"/>
      <c r="F48" s="14"/>
      <c r="G48" s="14"/>
      <c r="H48" s="14"/>
      <c r="I48" s="14"/>
    </row>
    <row r="49" spans="1:14">
      <c r="A49" s="14" t="s">
        <v>10</v>
      </c>
      <c r="B49" s="28">
        <v>999.27</v>
      </c>
      <c r="C49" s="32">
        <f>B49/$B$48</f>
        <v>0.99926999999999999</v>
      </c>
      <c r="D49" s="14"/>
      <c r="E49" s="14"/>
      <c r="F49" s="14"/>
      <c r="G49" s="3"/>
      <c r="H49" s="3"/>
      <c r="I49" s="6"/>
    </row>
    <row r="50" spans="1:14">
      <c r="A50" s="14" t="s">
        <v>11</v>
      </c>
      <c r="B50" s="28">
        <v>737.6</v>
      </c>
      <c r="C50" s="32">
        <f>B50/$B$48</f>
        <v>0.73760000000000003</v>
      </c>
      <c r="D50" s="14"/>
      <c r="E50" s="14"/>
      <c r="F50" s="14"/>
      <c r="G50" s="3"/>
      <c r="H50" s="3"/>
      <c r="I50" s="6"/>
    </row>
    <row r="51" spans="1:14">
      <c r="A51" s="14" t="s">
        <v>12</v>
      </c>
      <c r="B51" s="28">
        <v>57.067</v>
      </c>
      <c r="C51" s="32">
        <f>B51/$B$48</f>
        <v>5.7067E-2</v>
      </c>
      <c r="D51" s="14"/>
      <c r="E51" s="14"/>
      <c r="F51" s="14"/>
      <c r="G51" s="3"/>
      <c r="H51" s="3"/>
      <c r="I51" s="6"/>
    </row>
    <row r="52" spans="1:14">
      <c r="A52" s="14" t="s">
        <v>13</v>
      </c>
      <c r="B52" s="28">
        <v>160.77000000000001</v>
      </c>
      <c r="C52" s="32">
        <f>B52/$B$48</f>
        <v>0.16077000000000002</v>
      </c>
      <c r="D52" s="14"/>
      <c r="E52" s="14"/>
      <c r="F52" s="14"/>
      <c r="G52" s="3"/>
      <c r="H52" s="3"/>
      <c r="I52" s="6"/>
    </row>
    <row r="53" spans="1:14">
      <c r="A53" s="1"/>
      <c r="B53" s="1"/>
      <c r="C53" s="33"/>
      <c r="D53" s="1"/>
      <c r="E53" s="1"/>
      <c r="F53" s="1"/>
      <c r="G53" s="1"/>
      <c r="H53" s="1"/>
      <c r="I53" s="1"/>
    </row>
    <row r="54" spans="1:14">
      <c r="A54" s="1"/>
      <c r="B54" s="1"/>
      <c r="C54" s="33"/>
      <c r="D54" s="1"/>
      <c r="E54" s="1"/>
      <c r="F54" s="1"/>
      <c r="G54" s="1"/>
      <c r="H54" s="1"/>
      <c r="I54" s="1"/>
    </row>
    <row r="55" spans="1:14">
      <c r="A55" s="14" t="s">
        <v>36</v>
      </c>
      <c r="B55" s="28">
        <v>108.03</v>
      </c>
      <c r="C55" s="32">
        <f t="shared" ref="C55:C56" si="0">B55/$B$48</f>
        <v>0.10803</v>
      </c>
      <c r="D55" s="14"/>
      <c r="E55" s="14"/>
      <c r="F55" s="14"/>
      <c r="G55" s="3"/>
      <c r="H55" s="3"/>
      <c r="I55" s="6"/>
    </row>
    <row r="56" spans="1:14">
      <c r="A56" s="14" t="s">
        <v>35</v>
      </c>
      <c r="B56" s="28">
        <v>321.89999999999998</v>
      </c>
      <c r="C56" s="32">
        <f t="shared" si="0"/>
        <v>0.32189999999999996</v>
      </c>
      <c r="D56" s="14"/>
      <c r="E56" s="14"/>
      <c r="F56" s="14"/>
      <c r="G56" s="3"/>
      <c r="H56" s="3"/>
      <c r="I56" s="6"/>
    </row>
    <row r="57" spans="1:14">
      <c r="A57" s="14"/>
      <c r="B57" s="28"/>
      <c r="C57" s="32"/>
      <c r="D57" s="14"/>
      <c r="E57" s="14"/>
      <c r="F57" s="14"/>
      <c r="G57" s="3"/>
      <c r="H57" s="3"/>
      <c r="I57" s="6"/>
    </row>
    <row r="58" spans="1:14">
      <c r="A58" s="15" t="s">
        <v>14</v>
      </c>
      <c r="B58" s="28">
        <v>0.16667000000000001</v>
      </c>
      <c r="C58" s="32">
        <f>B58/$B$48</f>
        <v>1.6667E-4</v>
      </c>
      <c r="D58" s="14">
        <v>83</v>
      </c>
      <c r="E58" s="14">
        <v>-203</v>
      </c>
      <c r="F58" s="14">
        <v>750</v>
      </c>
      <c r="G58" s="3">
        <f>((D58-$D$47)^2+(E58-$E$47)^2+(F58-$F$47)^2)^0.5</f>
        <v>886.60009480035592</v>
      </c>
      <c r="H58" s="3">
        <f>ACOS((F58-$F$47)/G58)*180/PI()-45+90</f>
        <v>45.026495903373217</v>
      </c>
      <c r="I58" s="6">
        <f t="shared" ref="I58:I60" si="1">H58*PI()/180</f>
        <v>0.78586060414960124</v>
      </c>
    </row>
    <row r="59" spans="1:14">
      <c r="A59" s="15" t="s">
        <v>15</v>
      </c>
      <c r="B59" s="28">
        <v>0.26667000000000002</v>
      </c>
      <c r="C59" s="32">
        <f>B59/$B$48</f>
        <v>2.6666999999999999E-4</v>
      </c>
      <c r="D59" s="14">
        <v>83</v>
      </c>
      <c r="E59" s="14">
        <f>-203+212</f>
        <v>9</v>
      </c>
      <c r="F59" s="14">
        <v>750</v>
      </c>
      <c r="G59" s="3">
        <f>((D59-$D$47)^2+(E59-$E$47)^2+(F59-$F$47)^2)^0.5</f>
        <v>911.50103022432188</v>
      </c>
      <c r="H59" s="3">
        <f>ACOS((F59-$F$47)/G59)*180/PI()-45+90</f>
        <v>58.423364785171913</v>
      </c>
      <c r="I59" s="6">
        <f t="shared" si="1"/>
        <v>1.0196800755949593</v>
      </c>
      <c r="N59" s="19"/>
    </row>
    <row r="60" spans="1:14">
      <c r="A60" s="15" t="s">
        <v>16</v>
      </c>
      <c r="B60" s="28">
        <v>22.966999999999999</v>
      </c>
      <c r="C60" s="32">
        <f>B60/$B$48</f>
        <v>2.2966999999999998E-2</v>
      </c>
      <c r="D60" s="14">
        <v>83</v>
      </c>
      <c r="E60" s="14">
        <f>-203-213</f>
        <v>-416</v>
      </c>
      <c r="F60" s="14">
        <v>750</v>
      </c>
      <c r="G60" s="3">
        <f>((D60-$D$47)^2+(E60-$E$47)^2+(F60-$F$47)^2)^0.5</f>
        <v>911.92057115737884</v>
      </c>
      <c r="H60" s="3">
        <f>ACOS((F60-$F$47)/G60)*180/PI()-45+90</f>
        <v>58.533368896222534</v>
      </c>
      <c r="I60" s="6">
        <f t="shared" si="1"/>
        <v>1.0216000095235223</v>
      </c>
    </row>
    <row r="61" spans="1:14" ht="15">
      <c r="A61" s="24" t="s">
        <v>17</v>
      </c>
      <c r="B61" s="30">
        <f>SUM(B58:B60)</f>
        <v>23.40034</v>
      </c>
      <c r="C61" s="34">
        <f>SUM(C58:C60)</f>
        <v>2.3400339999999999E-2</v>
      </c>
      <c r="D61" s="24"/>
      <c r="E61" s="24"/>
      <c r="F61" s="24"/>
      <c r="G61" s="24"/>
      <c r="H61" s="24"/>
      <c r="I61" s="24"/>
    </row>
    <row r="62" spans="1:14">
      <c r="A62" s="1"/>
      <c r="B62" s="1"/>
      <c r="C62" s="33"/>
      <c r="D62" s="1"/>
      <c r="E62" s="1"/>
      <c r="F62" s="1"/>
      <c r="G62" s="1"/>
      <c r="H62" s="1"/>
      <c r="I62" s="1"/>
    </row>
    <row r="63" spans="1:14" ht="15">
      <c r="A63" s="24" t="s">
        <v>38</v>
      </c>
      <c r="B63" s="30">
        <v>0.5</v>
      </c>
      <c r="C63" s="34">
        <f>B63/$B$48</f>
        <v>5.0000000000000001E-4</v>
      </c>
      <c r="D63" s="24">
        <v>83</v>
      </c>
      <c r="E63" s="24">
        <v>-130</v>
      </c>
      <c r="F63" s="24">
        <v>-17</v>
      </c>
      <c r="G63" s="25">
        <f>((D63-$D$47)^2+(E63-$E$47)^2+(F63-$F$47)^2)^0.5</f>
        <v>139.91042884645876</v>
      </c>
      <c r="H63" s="25">
        <f>ACOS((F63-$F$47)/G63)*180/PI()-45+90</f>
        <v>76.258750500400183</v>
      </c>
      <c r="I63" s="26">
        <f>H63*PI()/180</f>
        <v>1.3309662796888564</v>
      </c>
    </row>
    <row r="64" spans="1:14">
      <c r="A64" s="1"/>
      <c r="B64" s="1"/>
      <c r="C64" s="33"/>
      <c r="D64" s="1"/>
      <c r="E64" s="1"/>
      <c r="F64" s="1"/>
      <c r="G64" s="1"/>
      <c r="H64" s="1"/>
      <c r="I64" s="1"/>
    </row>
    <row r="65" spans="1:9">
      <c r="A65" s="14" t="s">
        <v>18</v>
      </c>
      <c r="B65" s="28">
        <v>40.433</v>
      </c>
      <c r="C65" s="32">
        <f>B65/$B$48</f>
        <v>4.0432999999999997E-2</v>
      </c>
      <c r="D65" s="14">
        <v>0</v>
      </c>
      <c r="E65" s="14">
        <v>776</v>
      </c>
      <c r="F65" s="14">
        <v>1250</v>
      </c>
      <c r="G65" s="3">
        <f>((D65-$D$47)^2+(E65-$E$47)^2+(F65-$F$47)^2)^0.5</f>
        <v>1699.1737957313253</v>
      </c>
      <c r="H65" s="3">
        <f>ACOS((F65-$F$47)/G65)*180/PI()-45</f>
        <v>-9.6906875176163751</v>
      </c>
      <c r="I65" s="6">
        <f t="shared" ref="I65:I67" si="2">H65*PI()/180</f>
        <v>-0.16913440396432172</v>
      </c>
    </row>
    <row r="66" spans="1:9">
      <c r="A66" s="14" t="s">
        <v>19</v>
      </c>
      <c r="B66" s="28">
        <v>25.533000000000001</v>
      </c>
      <c r="C66" s="32">
        <f t="shared" ref="C66:C68" si="3">B66/$B$48</f>
        <v>2.5533E-2</v>
      </c>
      <c r="D66" s="14">
        <v>0</v>
      </c>
      <c r="E66" s="14">
        <v>692</v>
      </c>
      <c r="F66" s="14">
        <v>1425</v>
      </c>
      <c r="G66" s="3">
        <f>((D66-$D$47)^2+(E66-$E$47)^2+(F66-$F$47)^2)^0.5</f>
        <v>1801.6042262661351</v>
      </c>
      <c r="H66" s="3">
        <f>ACOS((F66-$F$47)/G66)*180/PI()-45</f>
        <v>-15.086933735276993</v>
      </c>
      <c r="I66" s="6">
        <f t="shared" si="2"/>
        <v>-0.2633166677107901</v>
      </c>
    </row>
    <row r="67" spans="1:9">
      <c r="A67" s="21" t="s">
        <v>20</v>
      </c>
      <c r="B67" s="28">
        <v>29.2</v>
      </c>
      <c r="C67" s="32">
        <f t="shared" si="3"/>
        <v>2.92E-2</v>
      </c>
      <c r="D67" s="14">
        <v>0</v>
      </c>
      <c r="E67" s="14">
        <v>620</v>
      </c>
      <c r="F67" s="14">
        <v>2231</v>
      </c>
      <c r="G67" s="3">
        <f>((D67-$D$47)^2+(E67-$E$47)^2+(F67-$F$47)^2)^0.5</f>
        <v>2507.8027410663699</v>
      </c>
      <c r="H67" s="3">
        <f>ACOS((F67-$F$47)/G67)*180/PI()-45</f>
        <v>-25.75075999847326</v>
      </c>
      <c r="I67" s="6">
        <f t="shared" si="2"/>
        <v>-0.44943554686420839</v>
      </c>
    </row>
    <row r="68" spans="1:9">
      <c r="A68" s="21" t="s">
        <v>21</v>
      </c>
      <c r="B68" s="28">
        <v>11.532999999999999</v>
      </c>
      <c r="C68" s="32">
        <f t="shared" si="3"/>
        <v>1.1533E-2</v>
      </c>
      <c r="D68" s="1"/>
      <c r="E68" s="14"/>
      <c r="F68" s="14"/>
      <c r="G68" s="3"/>
      <c r="H68" s="3"/>
      <c r="I68" s="6"/>
    </row>
    <row r="69" spans="1:9" ht="15">
      <c r="A69" s="24" t="s">
        <v>45</v>
      </c>
      <c r="B69" s="30">
        <f>SUM(B65:B68)</f>
        <v>106.69900000000001</v>
      </c>
      <c r="C69" s="34">
        <f>B69/$B$55</f>
        <v>0.98767934832916793</v>
      </c>
      <c r="D69" s="24"/>
      <c r="E69" s="24"/>
      <c r="F69" s="24"/>
      <c r="G69" s="25"/>
      <c r="H69" s="25"/>
      <c r="I69" s="26"/>
    </row>
    <row r="70" spans="1:9">
      <c r="A70" s="14"/>
      <c r="B70" s="28"/>
      <c r="C70" s="33"/>
      <c r="D70" s="14"/>
      <c r="E70" s="14"/>
      <c r="F70" s="14"/>
      <c r="G70" s="3"/>
      <c r="H70" s="3"/>
      <c r="I70" s="6"/>
    </row>
    <row r="71" spans="1:9">
      <c r="A71" s="14" t="s">
        <v>33</v>
      </c>
      <c r="B71" s="28">
        <v>97.167000000000002</v>
      </c>
      <c r="C71" s="32">
        <f>B71/$B$48</f>
        <v>9.7167000000000003E-2</v>
      </c>
      <c r="D71" s="14">
        <v>83</v>
      </c>
      <c r="E71" s="14">
        <v>-1279</v>
      </c>
      <c r="F71" s="14">
        <v>764</v>
      </c>
      <c r="G71" s="3">
        <f>((D71-$D$47)^2+(E71-$E$47)^2+(F71-$F$47)^2)^0.5</f>
        <v>1403.4661834543788</v>
      </c>
      <c r="H71" s="3">
        <f>ACOS((F71-$F$47)/G71)*180/PI()-45</f>
        <v>5.0815248849666759</v>
      </c>
      <c r="I71" s="6">
        <f t="shared" ref="I71:I72" si="4">H71*PI()/180</f>
        <v>8.8689340264694605E-2</v>
      </c>
    </row>
    <row r="72" spans="1:9">
      <c r="A72" s="14" t="s">
        <v>34</v>
      </c>
      <c r="B72" s="28">
        <v>57.9</v>
      </c>
      <c r="C72" s="32">
        <f>B72/$B$48</f>
        <v>5.79E-2</v>
      </c>
      <c r="D72" s="14">
        <v>83</v>
      </c>
      <c r="E72" s="14">
        <v>-1420</v>
      </c>
      <c r="F72" s="14">
        <v>600</v>
      </c>
      <c r="G72" s="3">
        <f>((D72-$D$47)^2+(E72-$E$47)^2+(F72-$F$47)^2)^0.5</f>
        <v>1422.8992684304817</v>
      </c>
      <c r="H72" s="3">
        <f>ACOS((F72-$F$47)/G72)*180/PI()-45</f>
        <v>13.823546846671022</v>
      </c>
      <c r="I72" s="6">
        <f t="shared" si="4"/>
        <v>0.24126640677808908</v>
      </c>
    </row>
    <row r="73" spans="1:9">
      <c r="A73" s="15" t="s">
        <v>27</v>
      </c>
      <c r="B73" s="28">
        <v>152.1</v>
      </c>
      <c r="C73" s="32">
        <f>B73/$B$48</f>
        <v>0.15209999999999999</v>
      </c>
      <c r="D73" s="14"/>
      <c r="E73" s="14"/>
      <c r="F73" s="14"/>
      <c r="G73" s="3"/>
      <c r="H73" s="3"/>
      <c r="I73" s="6"/>
    </row>
    <row r="74" spans="1:9" ht="15">
      <c r="A74" s="24" t="s">
        <v>47</v>
      </c>
      <c r="B74" s="30">
        <f>SUM(B71:B73)</f>
        <v>307.16700000000003</v>
      </c>
      <c r="C74" s="34">
        <f>B74/$B$56</f>
        <v>0.95423112767940366</v>
      </c>
      <c r="D74" s="24"/>
      <c r="E74" s="24"/>
      <c r="F74" s="24"/>
      <c r="G74" s="24"/>
      <c r="H74" s="24"/>
      <c r="I74" s="24"/>
    </row>
    <row r="75" spans="1:9">
      <c r="A75" s="1"/>
      <c r="B75" s="1"/>
      <c r="C75" s="33"/>
      <c r="D75" s="1"/>
      <c r="E75" s="1"/>
      <c r="F75" s="1"/>
      <c r="G75" s="1"/>
      <c r="H75" s="1"/>
      <c r="I75" s="1"/>
    </row>
    <row r="76" spans="1:9">
      <c r="A76" s="1" t="s">
        <v>51</v>
      </c>
      <c r="B76" s="31">
        <f>B50-B69-B74</f>
        <v>323.73400000000004</v>
      </c>
      <c r="C76" s="32">
        <f t="shared" ref="C76:C78" si="5">B76/$B$48</f>
        <v>0.32373400000000002</v>
      </c>
      <c r="D76" s="14">
        <v>83</v>
      </c>
      <c r="E76" s="14">
        <v>-1063</v>
      </c>
      <c r="F76" s="14">
        <v>814</v>
      </c>
      <c r="G76" s="3">
        <f>((D76-$D$47)^2+(E76-$E$47)^2+(F76-$F$47)^2)^0.5</f>
        <v>1282.1577625627822</v>
      </c>
      <c r="H76" s="3">
        <f>ACOS((F76-$F$47)/G76)*180/PI()-45</f>
        <v>-2.8513594011290593</v>
      </c>
      <c r="I76" s="6">
        <f>H76*PI()/180</f>
        <v>-4.9765609707395804E-2</v>
      </c>
    </row>
    <row r="77" spans="1:9">
      <c r="A77" s="1" t="s">
        <v>53</v>
      </c>
      <c r="B77" s="31">
        <f>B51</f>
        <v>57.067</v>
      </c>
      <c r="C77" s="32">
        <f t="shared" si="5"/>
        <v>5.7067E-2</v>
      </c>
      <c r="D77" s="14">
        <v>1407</v>
      </c>
      <c r="E77" s="14">
        <v>-203</v>
      </c>
      <c r="F77" s="14">
        <v>957</v>
      </c>
      <c r="G77" s="3">
        <f>((D77-$D$47)^2+(E77-$E$47)^2+(F77-$F$47)^2)^0.5</f>
        <v>1717.3163506180215</v>
      </c>
      <c r="H77" s="3">
        <f>ACOS((F77-$F$47)/G77)*180/PI()</f>
        <v>50.445824408048317</v>
      </c>
      <c r="I77" s="6">
        <f t="shared" ref="I77:I78" si="6">H77*PI()/180</f>
        <v>0.88044572980336255</v>
      </c>
    </row>
    <row r="78" spans="1:9">
      <c r="A78" s="1" t="s">
        <v>52</v>
      </c>
      <c r="B78" s="31">
        <f>B52</f>
        <v>160.77000000000001</v>
      </c>
      <c r="C78" s="32">
        <f t="shared" si="5"/>
        <v>0.16077000000000002</v>
      </c>
      <c r="D78" s="14">
        <v>-879</v>
      </c>
      <c r="E78" s="14">
        <v>-203</v>
      </c>
      <c r="F78" s="14">
        <v>1010</v>
      </c>
      <c r="G78" s="3">
        <f>((D78-$D$47)^2+(E78-$E$47)^2+(F78-$F$47)^2)^0.5</f>
        <v>1496.6504495372324</v>
      </c>
      <c r="H78" s="3">
        <f>ACOS((F78-$F$47)/G78)*180/PI()</f>
        <v>39.994089183030148</v>
      </c>
      <c r="I78" s="6">
        <f t="shared" si="6"/>
        <v>0.69802853758012506</v>
      </c>
    </row>
    <row r="79" spans="1:9" ht="15">
      <c r="A79" s="24" t="s">
        <v>50</v>
      </c>
      <c r="B79" s="30">
        <f>SUM(B50:B52)-B69-B74</f>
        <v>541.57100000000003</v>
      </c>
      <c r="C79" s="34">
        <f>B79/$B$48</f>
        <v>0.54157100000000002</v>
      </c>
      <c r="D79" s="24"/>
      <c r="E79" s="24"/>
      <c r="F79" s="24"/>
      <c r="G79" s="25"/>
      <c r="H79" s="25"/>
      <c r="I79" s="26"/>
    </row>
    <row r="80" spans="1:9">
      <c r="A80" s="14"/>
      <c r="B80" s="28"/>
      <c r="C80" s="33"/>
      <c r="D80" s="1"/>
      <c r="E80" s="1"/>
      <c r="F80" s="1"/>
      <c r="G80" s="1"/>
      <c r="H80" s="1"/>
      <c r="I80" s="1"/>
    </row>
    <row r="81" spans="1:9">
      <c r="A81" s="14" t="s">
        <v>39</v>
      </c>
      <c r="B81" s="28">
        <f>B79+B61+B63+B69+B74</f>
        <v>979.33734000000015</v>
      </c>
      <c r="C81" s="32">
        <f>B81/$B$48</f>
        <v>0.97933734000000017</v>
      </c>
      <c r="D81" s="1"/>
      <c r="E81" s="1"/>
      <c r="F81" s="1"/>
      <c r="G81" s="1"/>
      <c r="H81" s="1"/>
      <c r="I81" s="1"/>
    </row>
    <row r="82" spans="1:9">
      <c r="A82" s="14"/>
      <c r="B82" s="28"/>
      <c r="C82" s="33"/>
      <c r="D82" s="1"/>
      <c r="E82" s="1"/>
      <c r="F82" s="1"/>
      <c r="G82" s="1"/>
      <c r="H82" s="1"/>
      <c r="I82" s="1"/>
    </row>
    <row r="83" spans="1:9">
      <c r="A83" s="1"/>
      <c r="B83" s="1"/>
      <c r="C83" s="33"/>
      <c r="D83" s="1"/>
      <c r="E83" s="1"/>
      <c r="F83" s="1"/>
      <c r="G83" s="1"/>
      <c r="H83" s="1"/>
      <c r="I83" s="1"/>
    </row>
    <row r="84" spans="1:9" ht="15">
      <c r="A84" s="24" t="s">
        <v>37</v>
      </c>
      <c r="B84" s="30">
        <f>B73</f>
        <v>152.1</v>
      </c>
      <c r="C84" s="34">
        <f>B84/$B$48</f>
        <v>0.15209999999999999</v>
      </c>
      <c r="D84" s="24">
        <v>83</v>
      </c>
      <c r="E84" s="24">
        <v>-1835</v>
      </c>
      <c r="F84" s="24">
        <v>845</v>
      </c>
      <c r="G84" s="25">
        <f>((D84-$D$47)^2+(E84-$E$47)^2+(F84-$F$47)^2)^0.5</f>
        <v>1904.8013880979825</v>
      </c>
      <c r="H84" s="25">
        <f>ACOS((F84-$F$47)/G84)*180/PI()-45</f>
        <v>13.98053040956858</v>
      </c>
      <c r="I84" s="26">
        <f t="shared" ref="I84" si="7">H84*PI()/180</f>
        <v>0.24400628682216308</v>
      </c>
    </row>
    <row r="85" spans="1:9">
      <c r="A85" s="1"/>
      <c r="B85" s="28"/>
      <c r="C85" s="33"/>
      <c r="D85" s="1"/>
      <c r="E85" s="1"/>
      <c r="F85" s="1"/>
      <c r="G85" s="1"/>
      <c r="H85" s="1"/>
      <c r="I85" s="1"/>
    </row>
    <row r="86" spans="1:9">
      <c r="A86" s="21" t="s">
        <v>22</v>
      </c>
      <c r="B86" s="28">
        <v>0</v>
      </c>
      <c r="C86" s="32">
        <f>B86/$B$48</f>
        <v>0</v>
      </c>
      <c r="D86" s="14"/>
      <c r="E86" s="14"/>
      <c r="F86" s="14"/>
      <c r="G86" s="3"/>
      <c r="H86" s="3"/>
      <c r="I86" s="6"/>
    </row>
    <row r="87" spans="1:9" ht="15">
      <c r="A87" s="24" t="s">
        <v>23</v>
      </c>
      <c r="B87" s="30">
        <v>4.0667</v>
      </c>
      <c r="C87" s="34">
        <f>B87/$B$48</f>
        <v>4.0667000000000003E-3</v>
      </c>
      <c r="D87" s="24">
        <v>83</v>
      </c>
      <c r="E87" s="24">
        <v>-184</v>
      </c>
      <c r="F87" s="24">
        <v>4577</v>
      </c>
      <c r="G87" s="25">
        <f>((D87-$D$47)^2+(E87-$E$47)^2+(F87-$F$47)^2)^0.5</f>
        <v>4713.6366987815263</v>
      </c>
      <c r="H87" s="30">
        <f>ACOS((F87-$F$47)/G87)*180/PI()-45</f>
        <v>-44.773907747150375</v>
      </c>
      <c r="I87" s="26">
        <f t="shared" ref="I87:I90" si="8">H87*PI()/180</f>
        <v>-0.78145210917197072</v>
      </c>
    </row>
    <row r="88" spans="1:9">
      <c r="A88" s="14" t="s">
        <v>24</v>
      </c>
      <c r="B88" s="28">
        <v>0</v>
      </c>
      <c r="C88" s="32">
        <f>B88/$B$48</f>
        <v>0</v>
      </c>
      <c r="D88" s="14"/>
      <c r="E88" s="14"/>
      <c r="F88" s="14"/>
      <c r="G88" s="3"/>
      <c r="H88" s="3"/>
      <c r="I88" s="6"/>
    </row>
    <row r="89" spans="1:9" ht="15">
      <c r="A89" s="24" t="s">
        <v>25</v>
      </c>
      <c r="B89" s="30">
        <v>0.56667000000000001</v>
      </c>
      <c r="C89" s="34">
        <f>B89/$B$48</f>
        <v>5.6667000000000002E-4</v>
      </c>
      <c r="D89" s="24">
        <v>-127</v>
      </c>
      <c r="E89" s="24">
        <v>-268</v>
      </c>
      <c r="F89" s="24">
        <v>4597</v>
      </c>
      <c r="G89" s="25">
        <f>((D89-$D$47)^2+(E89-$E$47)^2+(F89-$F$47)^2)^0.5</f>
        <v>4738.7032327526067</v>
      </c>
      <c r="H89" s="25">
        <f>ACOS((F89-$F$47)/G89)*180/PI()-45</f>
        <v>-42.340686454115989</v>
      </c>
      <c r="I89" s="26">
        <f t="shared" si="8"/>
        <v>-0.73898438617888695</v>
      </c>
    </row>
    <row r="90" spans="1:9">
      <c r="A90" s="14" t="s">
        <v>26</v>
      </c>
      <c r="B90" s="28">
        <f>SUM(B86:B89)</f>
        <v>4.6333700000000002</v>
      </c>
      <c r="C90" s="32">
        <f>SUM(C86:C89)</f>
        <v>4.6333700000000004E-3</v>
      </c>
      <c r="D90" s="14"/>
      <c r="E90" s="14"/>
      <c r="F90" s="14"/>
      <c r="G90" s="3">
        <f>((D90-$D$47)^2+(E90-$E$47)^2+(F90-$F$47)^2)^0.5</f>
        <v>258.03175792913549</v>
      </c>
      <c r="H90" s="3">
        <f>ACOS((F90-$F$47)/G90)*180/PI()</f>
        <v>58.035602575512449</v>
      </c>
      <c r="I90" s="6">
        <f t="shared" si="8"/>
        <v>1.0129123483215934</v>
      </c>
    </row>
    <row r="91" spans="1:9">
      <c r="A91" s="14"/>
      <c r="B91" s="28"/>
      <c r="C91" s="32"/>
      <c r="D91" s="14"/>
      <c r="E91" s="14"/>
      <c r="F91" s="14"/>
      <c r="G91" s="14"/>
      <c r="H91" s="14"/>
      <c r="I91" s="14"/>
    </row>
    <row r="92" spans="1:9">
      <c r="A92" s="14" t="s">
        <v>40</v>
      </c>
      <c r="B92" s="28">
        <v>1.1333</v>
      </c>
      <c r="C92" s="32">
        <f t="shared" ref="C92:C94" si="9">B92/$B$48</f>
        <v>1.1333000000000001E-3</v>
      </c>
      <c r="D92" s="14">
        <v>-72</v>
      </c>
      <c r="E92" s="14">
        <v>300</v>
      </c>
      <c r="F92" s="14">
        <v>5710</v>
      </c>
      <c r="G92" s="3">
        <f>((D92-$D$47)^2+(E92-$E$47)^2+(F92-$F$47)^2)^0.5</f>
        <v>5870.2074433617763</v>
      </c>
      <c r="H92" s="3">
        <f>ACOS((F92-$F$47)/G92)*180/PI()-45</f>
        <v>-39.859787931785121</v>
      </c>
      <c r="I92" s="6">
        <f t="shared" ref="I92:I94" si="10">H92*PI()/180</f>
        <v>-0.69568453855635126</v>
      </c>
    </row>
    <row r="93" spans="1:9">
      <c r="A93" s="14" t="s">
        <v>41</v>
      </c>
      <c r="B93" s="28">
        <v>0.1</v>
      </c>
      <c r="C93" s="32">
        <f t="shared" si="9"/>
        <v>1E-4</v>
      </c>
      <c r="D93" s="14">
        <v>290</v>
      </c>
      <c r="E93" s="14">
        <v>387</v>
      </c>
      <c r="F93" s="14">
        <v>5717</v>
      </c>
      <c r="G93" s="3">
        <f>((D93-$D$47)^2+(E93-$E$47)^2+(F93-$F$47)^2)^0.5</f>
        <v>5886.862270182648</v>
      </c>
      <c r="H93" s="3">
        <f>ACOS((F93-$F$47)/G93)*180/PI()-45</f>
        <v>-38.906366392164813</v>
      </c>
      <c r="I93" s="6">
        <f t="shared" si="10"/>
        <v>-0.67904419353054335</v>
      </c>
    </row>
    <row r="94" spans="1:9">
      <c r="A94" s="14" t="s">
        <v>42</v>
      </c>
      <c r="B94" s="28">
        <v>0.2</v>
      </c>
      <c r="C94" s="32">
        <f t="shared" si="9"/>
        <v>2.0000000000000001E-4</v>
      </c>
      <c r="D94" s="14">
        <v>3.8</v>
      </c>
      <c r="E94" s="14">
        <v>400</v>
      </c>
      <c r="F94" s="14">
        <v>5730</v>
      </c>
      <c r="G94" s="3">
        <f>((D94-$D$47)^2+(E94-$E$47)^2+(F94-$F$47)^2)^0.5</f>
        <v>5897.9980257795951</v>
      </c>
      <c r="H94" s="3">
        <f>ACOS((F94-$F$47)/G94)*180/PI()-45</f>
        <v>-39.085346026374587</v>
      </c>
      <c r="I94" s="6">
        <f t="shared" si="10"/>
        <v>-0.68216797744151902</v>
      </c>
    </row>
    <row r="95" spans="1:9" ht="15">
      <c r="A95" s="24" t="s">
        <v>43</v>
      </c>
      <c r="B95" s="30">
        <f>SUM(B92:B94)</f>
        <v>1.4333</v>
      </c>
      <c r="C95" s="34">
        <f>B95/$B$48</f>
        <v>1.4333E-3</v>
      </c>
      <c r="D95" s="24"/>
      <c r="E95" s="24"/>
      <c r="F95" s="24"/>
      <c r="G95" s="24"/>
      <c r="H95" s="24"/>
      <c r="I95" s="24"/>
    </row>
    <row r="96" spans="1:9">
      <c r="A96" s="14"/>
      <c r="B96" s="28"/>
      <c r="C96" s="32"/>
      <c r="D96" s="14"/>
      <c r="E96" s="14"/>
      <c r="F96" s="14"/>
      <c r="G96" s="14"/>
      <c r="H96" s="14"/>
      <c r="I96" s="14"/>
    </row>
    <row r="97" spans="1:19" ht="15">
      <c r="A97" s="27" t="s">
        <v>44</v>
      </c>
      <c r="B97" s="30">
        <v>5.3666999999999998</v>
      </c>
      <c r="C97" s="34">
        <f>B97/$B$48</f>
        <v>5.3666999999999994E-3</v>
      </c>
      <c r="D97" s="24">
        <v>-225</v>
      </c>
      <c r="E97" s="24">
        <v>535</v>
      </c>
      <c r="F97" s="24">
        <v>7116</v>
      </c>
      <c r="G97" s="25">
        <f>((D97-$D$47)^2+(E97-$E$47)^2+(F97-$F$47)^2)^0.5</f>
        <v>7296.5107474806073</v>
      </c>
      <c r="H97" s="25">
        <f>ACOS((F97-$F$47)/G97)*180/PI()-45</f>
        <v>-38.71097279920582</v>
      </c>
      <c r="I97" s="26">
        <f t="shared" ref="I97" si="11">H97*PI()/180</f>
        <v>-0.67563393199610733</v>
      </c>
      <c r="M97" s="20"/>
    </row>
    <row r="98" spans="1:19">
      <c r="A98" s="1"/>
      <c r="B98" s="28"/>
      <c r="C98" s="33"/>
      <c r="D98" s="1"/>
      <c r="E98" s="1"/>
      <c r="F98" s="1"/>
      <c r="G98" s="1"/>
      <c r="H98" s="1"/>
      <c r="I98" s="1"/>
    </row>
    <row r="99" spans="1:19">
      <c r="A99" s="1" t="s">
        <v>46</v>
      </c>
      <c r="B99" s="28">
        <f>B90+B95+B97</f>
        <v>11.43337</v>
      </c>
      <c r="C99" s="33">
        <f>B99/$B$68</f>
        <v>0.99136131102054981</v>
      </c>
      <c r="D99" s="1"/>
      <c r="E99" s="1"/>
      <c r="F99" s="1"/>
      <c r="G99" s="1"/>
      <c r="H99" s="1"/>
      <c r="I99" s="1"/>
    </row>
    <row r="100" spans="1:19">
      <c r="A100" s="11"/>
      <c r="B100" s="37"/>
      <c r="C100" s="11"/>
      <c r="D100" s="11"/>
      <c r="E100" s="11"/>
      <c r="F100" s="11"/>
      <c r="G100" s="11"/>
      <c r="H100" s="11"/>
      <c r="I100" s="11"/>
    </row>
    <row r="101" spans="1:19">
      <c r="A101" s="11"/>
      <c r="B101" s="37"/>
      <c r="C101" s="11"/>
      <c r="D101" s="11"/>
      <c r="E101" s="11"/>
      <c r="F101" s="11"/>
      <c r="G101" s="11"/>
      <c r="H101" s="11"/>
      <c r="I101" s="11"/>
    </row>
    <row r="102" spans="1:19">
      <c r="A102" s="11"/>
      <c r="B102" s="37"/>
      <c r="C102" s="11"/>
      <c r="D102" s="11"/>
      <c r="E102" s="11"/>
      <c r="F102" s="11"/>
      <c r="G102" s="11"/>
      <c r="H102" s="11"/>
      <c r="I102" s="11"/>
    </row>
    <row r="103" spans="1:19">
      <c r="A103" s="40" t="s">
        <v>67</v>
      </c>
      <c r="B103" s="41"/>
      <c r="C103" s="42"/>
      <c r="D103" s="42"/>
      <c r="E103" s="42"/>
      <c r="F103" s="43"/>
      <c r="G103" s="11"/>
      <c r="H103" s="11"/>
      <c r="I103" s="11"/>
    </row>
    <row r="104" spans="1:19">
      <c r="A104" s="44"/>
      <c r="B104" s="37"/>
      <c r="C104" s="11"/>
      <c r="D104" s="11"/>
      <c r="E104" s="11"/>
      <c r="F104" s="45"/>
      <c r="G104" s="11"/>
      <c r="H104" s="11"/>
      <c r="I104" s="11"/>
    </row>
    <row r="105" spans="1:19">
      <c r="A105" s="44" t="s">
        <v>59</v>
      </c>
      <c r="B105" s="11"/>
      <c r="C105" s="11"/>
      <c r="D105" s="11"/>
      <c r="E105" s="11"/>
      <c r="F105" s="45"/>
    </row>
    <row r="106" spans="1:19">
      <c r="A106" s="22"/>
      <c r="B106" s="17"/>
      <c r="C106" s="12"/>
      <c r="D106" s="12"/>
      <c r="E106" s="12"/>
      <c r="F106" s="12"/>
      <c r="G106" s="29"/>
      <c r="H106" s="29"/>
      <c r="I106" s="9"/>
      <c r="N106" s="8"/>
      <c r="S106" s="8"/>
    </row>
    <row r="107" spans="1:19" ht="51.75" thickBot="1">
      <c r="A107" s="4" t="s">
        <v>6</v>
      </c>
      <c r="B107" s="5" t="s">
        <v>56</v>
      </c>
      <c r="C107" s="5" t="s">
        <v>57</v>
      </c>
      <c r="D107" s="5" t="s">
        <v>9</v>
      </c>
      <c r="E107" s="5" t="s">
        <v>62</v>
      </c>
      <c r="F107" s="5" t="s">
        <v>55</v>
      </c>
      <c r="G107" s="11"/>
      <c r="H107" s="11"/>
      <c r="I107" s="11"/>
    </row>
    <row r="108" spans="1:19" ht="13.5" thickTop="1">
      <c r="A108" s="16" t="s">
        <v>54</v>
      </c>
      <c r="B108" s="17">
        <f>C61*$B$45*$B$46</f>
        <v>6.6550566960000006E-4</v>
      </c>
      <c r="C108" s="12">
        <v>4.5619999999999998E-23</v>
      </c>
      <c r="D108" s="18">
        <v>0.03</v>
      </c>
      <c r="E108" s="38">
        <v>9.9999999999999998E-13</v>
      </c>
      <c r="F108" s="12">
        <v>2.2550000000000002E-28</v>
      </c>
      <c r="G108" s="11"/>
      <c r="H108" s="11"/>
      <c r="I108" s="11"/>
      <c r="N108" s="20"/>
    </row>
    <row r="109" spans="1:19">
      <c r="A109" s="13" t="s">
        <v>61</v>
      </c>
      <c r="B109" s="17">
        <f>C63*$B$45*$B$46</f>
        <v>1.4220000000000001E-5</v>
      </c>
      <c r="C109" s="2">
        <v>1.8699999999999999E-23</v>
      </c>
      <c r="D109" s="18">
        <v>0.03</v>
      </c>
      <c r="E109" s="39">
        <v>2.9999999999999998E-14</v>
      </c>
      <c r="F109" s="12">
        <v>4.3309999999999998E-30</v>
      </c>
      <c r="G109" s="11"/>
      <c r="H109" s="11"/>
      <c r="I109" s="11"/>
      <c r="N109" s="8"/>
      <c r="S109" s="8"/>
    </row>
    <row r="110" spans="1:19">
      <c r="A110" s="13" t="s">
        <v>63</v>
      </c>
      <c r="B110" s="17">
        <f>C79*$B$45*$B$46</f>
        <v>1.5402279240000002E-2</v>
      </c>
      <c r="C110" s="2">
        <v>2.181E-21</v>
      </c>
      <c r="D110" s="18">
        <v>0.1</v>
      </c>
      <c r="E110" s="39">
        <v>7.9999999999999995E-11</v>
      </c>
      <c r="F110" s="12">
        <v>1.2469999999999999E-25</v>
      </c>
      <c r="G110" s="11"/>
      <c r="H110" s="11"/>
      <c r="I110" s="11"/>
    </row>
    <row r="111" spans="1:19">
      <c r="A111" s="14" t="s">
        <v>64</v>
      </c>
      <c r="B111" s="17">
        <f>C84*$B$45*$B$46</f>
        <v>4.3257239999999995E-3</v>
      </c>
      <c r="C111" s="2">
        <v>4.1719999999999998E-22</v>
      </c>
      <c r="D111" s="18">
        <v>0.1</v>
      </c>
      <c r="E111" s="39">
        <v>7.9999999999999995E-11</v>
      </c>
      <c r="F111" s="12">
        <v>7.6980000000000002E-26</v>
      </c>
      <c r="G111" s="11"/>
      <c r="H111" s="11"/>
      <c r="I111" s="11"/>
      <c r="N111" s="20"/>
    </row>
    <row r="112" spans="1:19">
      <c r="A112" s="13" t="s">
        <v>65</v>
      </c>
      <c r="B112" s="17">
        <f>C90*$B$45*$B$46</f>
        <v>1.3177304280000002E-4</v>
      </c>
      <c r="C112" s="2">
        <v>4.6389999999999997E-25</v>
      </c>
      <c r="D112" s="18">
        <v>1</v>
      </c>
      <c r="E112" s="39">
        <v>2.9999999999999998E-14</v>
      </c>
      <c r="F112" s="12">
        <v>3.938E-30</v>
      </c>
      <c r="G112" s="11"/>
      <c r="H112" s="11"/>
      <c r="I112" s="11"/>
      <c r="N112" s="8"/>
      <c r="S112" s="8"/>
    </row>
    <row r="113" spans="1:9">
      <c r="A113" s="13" t="s">
        <v>66</v>
      </c>
      <c r="B113" s="17">
        <f>C95*$B$45*$B$46</f>
        <v>4.0763052000000005E-5</v>
      </c>
      <c r="C113" s="2">
        <v>9.569E-26</v>
      </c>
      <c r="D113" s="18">
        <v>0.03</v>
      </c>
      <c r="E113" s="38">
        <v>9.9999999999999998E-13</v>
      </c>
      <c r="F113" s="12">
        <v>1.033E-29</v>
      </c>
      <c r="G113" s="11"/>
      <c r="H113" s="11"/>
      <c r="I113" s="11"/>
    </row>
  </sheetData>
  <phoneticPr fontId="1" type="noConversion"/>
  <pageMargins left="0.75" right="0.75" top="1" bottom="1" header="0.5" footer="0.5"/>
  <pageSetup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Caltech</dc:creator>
  <cp:lastModifiedBy>smith</cp:lastModifiedBy>
  <cp:lastPrinted>2013-06-13T23:35:26Z</cp:lastPrinted>
  <dcterms:created xsi:type="dcterms:W3CDTF">2011-02-05T22:07:54Z</dcterms:created>
  <dcterms:modified xsi:type="dcterms:W3CDTF">2013-06-14T16:48:17Z</dcterms:modified>
</cp:coreProperties>
</file>